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esktop\LRF_Biedru_sapulce_2024\"/>
    </mc:Choice>
  </mc:AlternateContent>
  <xr:revisionPtr revIDLastSave="0" documentId="8_{EDD101A8-58E0-4FB7-973A-8DBAAD5AF81F}" xr6:coauthVersionLast="47" xr6:coauthVersionMax="47" xr10:uidLastSave="{00000000-0000-0000-0000-000000000000}"/>
  <bookViews>
    <workbookView xWindow="-110" yWindow="-110" windowWidth="19420" windowHeight="10420" firstSheet="5" activeTab="7" xr2:uid="{A39FA6A2-AF8F-064F-B714-FACDF652E2B1}"/>
  </bookViews>
  <sheets>
    <sheet name="2024" sheetId="1" r:id="rId1"/>
    <sheet name="Licences" sheetId="2" r:id="rId2"/>
    <sheet name="Organizācijas" sheetId="10" r:id="rId3"/>
    <sheet name="Valsts" sheetId="5" r:id="rId4"/>
    <sheet name="IZM_2023" sheetId="12" r:id="rId5"/>
    <sheet name="LSFP_2023" sheetId="13" r:id="rId6"/>
    <sheet name="Birojs" sheetId="16" r:id="rId7"/>
    <sheet name="Šosejas_MTB_Sacensibas" sheetId="14" r:id="rId8"/>
    <sheet name="Šosejas_MTB_izlases" sheetId="15" r:id="rId9"/>
    <sheet name="BMX_sac." sheetId="17" r:id="rId10"/>
    <sheet name="BMX izlase" sheetId="1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5" l="1"/>
  <c r="AC10" i="18"/>
  <c r="AC11" i="18"/>
  <c r="AC12" i="18"/>
  <c r="AC38" i="18" s="1"/>
  <c r="AF2" i="18" s="1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F2" i="17" s="1"/>
  <c r="AC10" i="16"/>
  <c r="AC11" i="16"/>
  <c r="O12" i="16"/>
  <c r="AC12" i="16"/>
  <c r="N13" i="16"/>
  <c r="R13" i="16"/>
  <c r="AC13" i="16"/>
  <c r="R14" i="16"/>
  <c r="AC14" i="16"/>
  <c r="AC15" i="16"/>
  <c r="AC16" i="16"/>
  <c r="AC17" i="16"/>
  <c r="AC18" i="16"/>
  <c r="AC19" i="16"/>
  <c r="AC20" i="16"/>
  <c r="AC21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F2" i="16" s="1"/>
  <c r="D80" i="1" l="1"/>
  <c r="D71" i="15"/>
  <c r="D70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N63" i="15"/>
  <c r="M63" i="15"/>
  <c r="K63" i="15"/>
  <c r="J63" i="15"/>
  <c r="I63" i="15"/>
  <c r="H63" i="15"/>
  <c r="G63" i="15"/>
  <c r="F63" i="15"/>
  <c r="AD62" i="15"/>
  <c r="O61" i="15"/>
  <c r="AD61" i="15" s="1"/>
  <c r="AD60" i="15"/>
  <c r="AD59" i="15"/>
  <c r="O58" i="15"/>
  <c r="AD58" i="15" s="1"/>
  <c r="L57" i="15"/>
  <c r="AD57" i="15" s="1"/>
  <c r="AD56" i="15"/>
  <c r="AD55" i="15"/>
  <c r="AD54" i="15"/>
  <c r="AD53" i="15"/>
  <c r="L52" i="15"/>
  <c r="AD52" i="15" s="1"/>
  <c r="AD51" i="15"/>
  <c r="AD50" i="15"/>
  <c r="AD49" i="15"/>
  <c r="AD47" i="15"/>
  <c r="AD43" i="15"/>
  <c r="AD42" i="15"/>
  <c r="AD41" i="15"/>
  <c r="AD40" i="15"/>
  <c r="C32" i="15"/>
  <c r="C30" i="15"/>
  <c r="AC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N24" i="15"/>
  <c r="M24" i="15"/>
  <c r="K24" i="15"/>
  <c r="J24" i="15"/>
  <c r="I24" i="15"/>
  <c r="H24" i="15"/>
  <c r="G24" i="15"/>
  <c r="F24" i="15"/>
  <c r="AB23" i="15"/>
  <c r="AD23" i="15" s="1"/>
  <c r="AD22" i="15"/>
  <c r="AD21" i="15"/>
  <c r="O21" i="15"/>
  <c r="AD20" i="15"/>
  <c r="AD19" i="15"/>
  <c r="O18" i="15"/>
  <c r="O24" i="15" s="1"/>
  <c r="AD17" i="15"/>
  <c r="AD16" i="15"/>
  <c r="AD15" i="15"/>
  <c r="AD14" i="15"/>
  <c r="L14" i="15"/>
  <c r="AD13" i="15"/>
  <c r="AD12" i="15"/>
  <c r="AD11" i="15"/>
  <c r="L10" i="15"/>
  <c r="AD10" i="15" s="1"/>
  <c r="AD9" i="15"/>
  <c r="L9" i="15"/>
  <c r="AD8" i="15"/>
  <c r="AD7" i="15"/>
  <c r="AD6" i="15"/>
  <c r="AD5" i="15"/>
  <c r="Z68" i="14"/>
  <c r="Y68" i="14"/>
  <c r="X68" i="14"/>
  <c r="W68" i="14"/>
  <c r="I68" i="14"/>
  <c r="H68" i="14"/>
  <c r="G68" i="14"/>
  <c r="AA67" i="14"/>
  <c r="AA68" i="14" s="1"/>
  <c r="Z67" i="14"/>
  <c r="Y67" i="14"/>
  <c r="X67" i="14"/>
  <c r="W67" i="14"/>
  <c r="V67" i="14"/>
  <c r="V68" i="14" s="1"/>
  <c r="U67" i="14"/>
  <c r="T67" i="14"/>
  <c r="T68" i="14" s="1"/>
  <c r="S67" i="14"/>
  <c r="S68" i="14" s="1"/>
  <c r="R67" i="14"/>
  <c r="Q67" i="14"/>
  <c r="O67" i="14"/>
  <c r="N67" i="14"/>
  <c r="M67" i="14"/>
  <c r="M68" i="14" s="1"/>
  <c r="L67" i="14"/>
  <c r="L68" i="14" s="1"/>
  <c r="K67" i="14"/>
  <c r="K68" i="14" s="1"/>
  <c r="I67" i="14"/>
  <c r="H67" i="14"/>
  <c r="G67" i="14"/>
  <c r="F67" i="14"/>
  <c r="F68" i="14" s="1"/>
  <c r="E67" i="14"/>
  <c r="D67" i="14"/>
  <c r="C67" i="14"/>
  <c r="C68" i="14" s="1"/>
  <c r="B67" i="14"/>
  <c r="AC66" i="14"/>
  <c r="AD66" i="14" s="1"/>
  <c r="AB66" i="14"/>
  <c r="AC65" i="14"/>
  <c r="AD65" i="14" s="1"/>
  <c r="AB65" i="14"/>
  <c r="AD64" i="14"/>
  <c r="AC64" i="14"/>
  <c r="AB64" i="14"/>
  <c r="AC63" i="14"/>
  <c r="AD63" i="14" s="1"/>
  <c r="AB63" i="14"/>
  <c r="AC62" i="14"/>
  <c r="AD62" i="14" s="1"/>
  <c r="AB62" i="14"/>
  <c r="AC61" i="14"/>
  <c r="P61" i="14"/>
  <c r="AB61" i="14" s="1"/>
  <c r="AD61" i="14" s="1"/>
  <c r="AC60" i="14"/>
  <c r="AD60" i="14" s="1"/>
  <c r="AB60" i="14"/>
  <c r="O59" i="14"/>
  <c r="AC59" i="14" s="1"/>
  <c r="AD59" i="14" s="1"/>
  <c r="N59" i="14"/>
  <c r="AB59" i="14" s="1"/>
  <c r="AC58" i="14"/>
  <c r="AD58" i="14" s="1"/>
  <c r="AB58" i="14"/>
  <c r="N58" i="14"/>
  <c r="AC57" i="14"/>
  <c r="AB57" i="14"/>
  <c r="AD57" i="14" s="1"/>
  <c r="AC56" i="14"/>
  <c r="AD56" i="14" s="1"/>
  <c r="AB56" i="14"/>
  <c r="AD55" i="14"/>
  <c r="AC55" i="14"/>
  <c r="AB55" i="14"/>
  <c r="AC54" i="14"/>
  <c r="J54" i="14"/>
  <c r="AB54" i="14" s="1"/>
  <c r="AC53" i="14"/>
  <c r="AD53" i="14" s="1"/>
  <c r="AB53" i="14"/>
  <c r="AC52" i="14"/>
  <c r="AB52" i="14"/>
  <c r="AD52" i="14" s="1"/>
  <c r="AC51" i="14"/>
  <c r="AD51" i="14" s="1"/>
  <c r="AB51" i="14"/>
  <c r="AD50" i="14"/>
  <c r="AC50" i="14"/>
  <c r="AB50" i="14"/>
  <c r="AC49" i="14"/>
  <c r="AD49" i="14" s="1"/>
  <c r="AB49" i="14"/>
  <c r="AC48" i="14"/>
  <c r="AD48" i="14" s="1"/>
  <c r="AB48" i="14"/>
  <c r="AB47" i="14"/>
  <c r="E47" i="14"/>
  <c r="AC47" i="14" s="1"/>
  <c r="AD47" i="14" s="1"/>
  <c r="AC46" i="14"/>
  <c r="P46" i="14"/>
  <c r="P67" i="14" s="1"/>
  <c r="P68" i="14" s="1"/>
  <c r="N46" i="14"/>
  <c r="J46" i="14"/>
  <c r="J67" i="14" s="1"/>
  <c r="J68" i="14" s="1"/>
  <c r="D46" i="14"/>
  <c r="AA44" i="14"/>
  <c r="Z44" i="14"/>
  <c r="Y44" i="14"/>
  <c r="X44" i="14"/>
  <c r="W44" i="14"/>
  <c r="V44" i="14"/>
  <c r="T44" i="14"/>
  <c r="S44" i="14"/>
  <c r="R44" i="14"/>
  <c r="R68" i="14" s="1"/>
  <c r="M44" i="14"/>
  <c r="L44" i="14"/>
  <c r="K44" i="14"/>
  <c r="J44" i="14"/>
  <c r="I44" i="14"/>
  <c r="H44" i="14"/>
  <c r="G44" i="14"/>
  <c r="F44" i="14"/>
  <c r="C44" i="14"/>
  <c r="B44" i="14"/>
  <c r="B68" i="14" s="1"/>
  <c r="P43" i="14"/>
  <c r="O43" i="14"/>
  <c r="N43" i="14"/>
  <c r="AB43" i="14" s="1"/>
  <c r="E43" i="14"/>
  <c r="AC43" i="14" s="1"/>
  <c r="AD43" i="14" s="1"/>
  <c r="AC42" i="14"/>
  <c r="Q42" i="14"/>
  <c r="P42" i="14"/>
  <c r="O42" i="14"/>
  <c r="N42" i="14"/>
  <c r="AB42" i="14" s="1"/>
  <c r="AD42" i="14" s="1"/>
  <c r="AC41" i="14"/>
  <c r="AD41" i="14" s="1"/>
  <c r="AB41" i="14"/>
  <c r="P41" i="14"/>
  <c r="O41" i="14"/>
  <c r="N41" i="14"/>
  <c r="AB40" i="14"/>
  <c r="O40" i="14"/>
  <c r="AC40" i="14" s="1"/>
  <c r="AD40" i="14" s="1"/>
  <c r="N40" i="14"/>
  <c r="AB39" i="14"/>
  <c r="U39" i="14"/>
  <c r="AC39" i="14" s="1"/>
  <c r="AD39" i="14" s="1"/>
  <c r="AC38" i="14"/>
  <c r="AD38" i="14" s="1"/>
  <c r="AB38" i="14"/>
  <c r="Q38" i="14"/>
  <c r="D38" i="14"/>
  <c r="AC37" i="14"/>
  <c r="P37" i="14"/>
  <c r="AB37" i="14" s="1"/>
  <c r="AC36" i="14"/>
  <c r="AD36" i="14" s="1"/>
  <c r="AB36" i="14"/>
  <c r="O36" i="14"/>
  <c r="N36" i="14"/>
  <c r="AB35" i="14"/>
  <c r="O35" i="14"/>
  <c r="AC35" i="14" s="1"/>
  <c r="AD35" i="14" s="1"/>
  <c r="AD34" i="14"/>
  <c r="AC34" i="14"/>
  <c r="AB34" i="14"/>
  <c r="J34" i="14"/>
  <c r="AB33" i="14"/>
  <c r="O33" i="14"/>
  <c r="AC33" i="14" s="1"/>
  <c r="AD33" i="14" s="1"/>
  <c r="AD32" i="14"/>
  <c r="AC32" i="14"/>
  <c r="AB32" i="14"/>
  <c r="P31" i="14"/>
  <c r="O31" i="14"/>
  <c r="AC31" i="14" s="1"/>
  <c r="N31" i="14"/>
  <c r="J31" i="14"/>
  <c r="AB31" i="14" s="1"/>
  <c r="D31" i="14"/>
  <c r="AB30" i="14"/>
  <c r="O30" i="14"/>
  <c r="AC30" i="14" s="1"/>
  <c r="AD30" i="14" s="1"/>
  <c r="AC29" i="14"/>
  <c r="AD29" i="14" s="1"/>
  <c r="AB29" i="14"/>
  <c r="AC28" i="14"/>
  <c r="AB28" i="14"/>
  <c r="AD28" i="14" s="1"/>
  <c r="AC27" i="14"/>
  <c r="AD27" i="14" s="1"/>
  <c r="AB27" i="14"/>
  <c r="AC26" i="14"/>
  <c r="Q26" i="14"/>
  <c r="P26" i="14"/>
  <c r="O26" i="14"/>
  <c r="N26" i="14"/>
  <c r="J26" i="14"/>
  <c r="D26" i="14"/>
  <c r="AB26" i="14" s="1"/>
  <c r="AD26" i="14" s="1"/>
  <c r="P25" i="14"/>
  <c r="O25" i="14"/>
  <c r="AC25" i="14" s="1"/>
  <c r="N25" i="14"/>
  <c r="AB25" i="14" s="1"/>
  <c r="AC24" i="14"/>
  <c r="AD24" i="14" s="1"/>
  <c r="AB24" i="14"/>
  <c r="AC23" i="14"/>
  <c r="AB23" i="14"/>
  <c r="AD23" i="14" s="1"/>
  <c r="AB22" i="14"/>
  <c r="Q22" i="14"/>
  <c r="AC22" i="14" s="1"/>
  <c r="AD22" i="14" s="1"/>
  <c r="P22" i="14"/>
  <c r="O22" i="14"/>
  <c r="N22" i="14"/>
  <c r="AC21" i="14"/>
  <c r="AD21" i="14" s="1"/>
  <c r="AB21" i="14"/>
  <c r="AC20" i="14"/>
  <c r="AD20" i="14" s="1"/>
  <c r="AB20" i="14"/>
  <c r="Q19" i="14"/>
  <c r="P19" i="14"/>
  <c r="O19" i="14"/>
  <c r="AC19" i="14" s="1"/>
  <c r="N19" i="14"/>
  <c r="AB19" i="14" s="1"/>
  <c r="AB18" i="14"/>
  <c r="Q18" i="14"/>
  <c r="O18" i="14"/>
  <c r="AC18" i="14" s="1"/>
  <c r="AD18" i="14" s="1"/>
  <c r="AC17" i="14"/>
  <c r="AD17" i="14" s="1"/>
  <c r="AB17" i="14"/>
  <c r="P17" i="14"/>
  <c r="P44" i="14" s="1"/>
  <c r="AB16" i="14"/>
  <c r="Q16" i="14"/>
  <c r="O16" i="14"/>
  <c r="AC16" i="14" s="1"/>
  <c r="AD16" i="14" s="1"/>
  <c r="AC15" i="14"/>
  <c r="AD15" i="14" s="1"/>
  <c r="AB15" i="14"/>
  <c r="Q15" i="14"/>
  <c r="O15" i="14"/>
  <c r="AB14" i="14"/>
  <c r="Q14" i="14"/>
  <c r="Q44" i="14" s="1"/>
  <c r="Q68" i="14" s="1"/>
  <c r="O14" i="14"/>
  <c r="O44" i="14" s="1"/>
  <c r="O68" i="14" s="1"/>
  <c r="AD13" i="14"/>
  <c r="AC13" i="14"/>
  <c r="AB13" i="14"/>
  <c r="AC12" i="14"/>
  <c r="AD12" i="14" s="1"/>
  <c r="AB12" i="14"/>
  <c r="AC11" i="14"/>
  <c r="AD11" i="14" s="1"/>
  <c r="AB11" i="14"/>
  <c r="AC10" i="14"/>
  <c r="AB10" i="14"/>
  <c r="AD10" i="14" s="1"/>
  <c r="AC9" i="14"/>
  <c r="AD9" i="14" s="1"/>
  <c r="AB9" i="14"/>
  <c r="AD8" i="14"/>
  <c r="AC8" i="14"/>
  <c r="AB8" i="14"/>
  <c r="AC7" i="14"/>
  <c r="AD7" i="14" s="1"/>
  <c r="AB7" i="14"/>
  <c r="AC6" i="14"/>
  <c r="AD6" i="14" s="1"/>
  <c r="AB6" i="14"/>
  <c r="AD5" i="14"/>
  <c r="AC5" i="14"/>
  <c r="AB5" i="14"/>
  <c r="AC4" i="14"/>
  <c r="AD4" i="14" s="1"/>
  <c r="AB4" i="14"/>
  <c r="B27" i="5"/>
  <c r="B26" i="5"/>
  <c r="B21" i="5"/>
  <c r="B20" i="5"/>
  <c r="B19" i="5"/>
  <c r="B23" i="5"/>
  <c r="D2" i="5"/>
  <c r="D23" i="5" s="1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N54" i="12"/>
  <c r="M54" i="12"/>
  <c r="K54" i="12"/>
  <c r="J54" i="12"/>
  <c r="I54" i="12"/>
  <c r="H54" i="12"/>
  <c r="G54" i="12"/>
  <c r="F54" i="12"/>
  <c r="AD53" i="12"/>
  <c r="AD52" i="12"/>
  <c r="AD51" i="12"/>
  <c r="AD50" i="12"/>
  <c r="AD49" i="12"/>
  <c r="O48" i="12"/>
  <c r="O54" i="12" s="1"/>
  <c r="AD47" i="12"/>
  <c r="AD46" i="12"/>
  <c r="O45" i="12"/>
  <c r="AD45" i="12" s="1"/>
  <c r="AD44" i="12"/>
  <c r="AD43" i="12"/>
  <c r="AD42" i="12"/>
  <c r="AD41" i="12"/>
  <c r="AD40" i="12"/>
  <c r="AD39" i="12"/>
  <c r="L38" i="12"/>
  <c r="AD38" i="12" s="1"/>
  <c r="AD37" i="12"/>
  <c r="AD36" i="12"/>
  <c r="AD35" i="12"/>
  <c r="AD34" i="12"/>
  <c r="L33" i="12"/>
  <c r="AD33" i="12" s="1"/>
  <c r="L32" i="12"/>
  <c r="L54" i="12" s="1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C29" i="15" l="1"/>
  <c r="D33" i="15" s="1"/>
  <c r="O63" i="15"/>
  <c r="E72" i="15"/>
  <c r="L63" i="15"/>
  <c r="AD63" i="15" s="1"/>
  <c r="L24" i="15"/>
  <c r="AD24" i="15" s="1"/>
  <c r="D34" i="15" s="1"/>
  <c r="AB24" i="15"/>
  <c r="AD18" i="15"/>
  <c r="AD31" i="14"/>
  <c r="AD54" i="14"/>
  <c r="U68" i="14"/>
  <c r="N68" i="14"/>
  <c r="E68" i="14"/>
  <c r="AD37" i="14"/>
  <c r="AD19" i="14"/>
  <c r="AD25" i="14"/>
  <c r="AB67" i="14"/>
  <c r="AC67" i="14"/>
  <c r="AB46" i="14"/>
  <c r="AD46" i="14" s="1"/>
  <c r="D44" i="14"/>
  <c r="D68" i="14" s="1"/>
  <c r="AB44" i="14"/>
  <c r="U44" i="14"/>
  <c r="AC14" i="14"/>
  <c r="AD14" i="14" s="1"/>
  <c r="N44" i="14"/>
  <c r="E44" i="14"/>
  <c r="AC44" i="14" s="1"/>
  <c r="AD44" i="14" s="1"/>
  <c r="AD48" i="12"/>
  <c r="AD32" i="12"/>
  <c r="AD54" i="12" s="1"/>
  <c r="E73" i="15" l="1"/>
  <c r="AC68" i="14"/>
  <c r="AD67" i="14"/>
  <c r="AB68" i="14"/>
  <c r="D61" i="1"/>
  <c r="D64" i="1"/>
  <c r="D77" i="1"/>
  <c r="F53" i="1"/>
  <c r="F75" i="1"/>
  <c r="F61" i="1"/>
  <c r="L14" i="2" l="1"/>
  <c r="K14" i="2"/>
  <c r="H18" i="2"/>
  <c r="S15" i="1"/>
  <c r="T16" i="1" s="1"/>
  <c r="N18" i="10"/>
  <c r="N56" i="10"/>
  <c r="N48" i="10"/>
  <c r="N45" i="10"/>
  <c r="N46" i="10"/>
  <c r="N47" i="10"/>
  <c r="N44" i="10"/>
  <c r="N43" i="10"/>
  <c r="N17" i="10"/>
  <c r="N71" i="10"/>
  <c r="N70" i="10"/>
  <c r="S35" i="13" l="1"/>
  <c r="Q35" i="13"/>
  <c r="K35" i="13"/>
  <c r="I35" i="13"/>
  <c r="D35" i="13"/>
  <c r="W34" i="13"/>
  <c r="V33" i="13"/>
  <c r="V35" i="13" s="1"/>
  <c r="U33" i="13"/>
  <c r="U35" i="13" s="1"/>
  <c r="T33" i="13"/>
  <c r="S33" i="13"/>
  <c r="R33" i="13"/>
  <c r="Q33" i="13"/>
  <c r="P33" i="13"/>
  <c r="P35" i="13" s="1"/>
  <c r="O33" i="13"/>
  <c r="O35" i="13" s="1"/>
  <c r="N33" i="13"/>
  <c r="N35" i="13" s="1"/>
  <c r="M33" i="13"/>
  <c r="M35" i="13" s="1"/>
  <c r="L33" i="13"/>
  <c r="K33" i="13"/>
  <c r="J33" i="13"/>
  <c r="I33" i="13"/>
  <c r="H33" i="13"/>
  <c r="H35" i="13" s="1"/>
  <c r="G33" i="13"/>
  <c r="G35" i="13" s="1"/>
  <c r="F33" i="13"/>
  <c r="F35" i="13" s="1"/>
  <c r="W32" i="13"/>
  <c r="W31" i="13"/>
  <c r="W30" i="13"/>
  <c r="W29" i="13"/>
  <c r="W28" i="13"/>
  <c r="W27" i="13"/>
  <c r="W26" i="13"/>
  <c r="W25" i="13"/>
  <c r="W24" i="13"/>
  <c r="P24" i="13"/>
  <c r="M24" i="13"/>
  <c r="V23" i="13"/>
  <c r="U23" i="13"/>
  <c r="T23" i="13"/>
  <c r="T35" i="13" s="1"/>
  <c r="S23" i="13"/>
  <c r="R23" i="13"/>
  <c r="R35" i="13" s="1"/>
  <c r="Q23" i="13"/>
  <c r="P23" i="13"/>
  <c r="O23" i="13"/>
  <c r="N23" i="13"/>
  <c r="M23" i="13"/>
  <c r="L23" i="13"/>
  <c r="L35" i="13" s="1"/>
  <c r="K23" i="13"/>
  <c r="J23" i="13"/>
  <c r="J35" i="13" s="1"/>
  <c r="I23" i="13"/>
  <c r="H23" i="13"/>
  <c r="G23" i="13"/>
  <c r="F23" i="13"/>
  <c r="W23" i="13" s="1"/>
  <c r="W22" i="13"/>
  <c r="W21" i="13"/>
  <c r="M21" i="13"/>
  <c r="M12" i="13" s="1"/>
  <c r="W20" i="13"/>
  <c r="W19" i="13"/>
  <c r="M18" i="13"/>
  <c r="W18" i="13" s="1"/>
  <c r="W17" i="13"/>
  <c r="W16" i="13"/>
  <c r="W15" i="13"/>
  <c r="W14" i="13"/>
  <c r="W13" i="13"/>
  <c r="V12" i="13"/>
  <c r="U12" i="13"/>
  <c r="T12" i="13"/>
  <c r="S12" i="13"/>
  <c r="R12" i="13"/>
  <c r="Q12" i="13"/>
  <c r="P12" i="13"/>
  <c r="O12" i="13"/>
  <c r="N12" i="13"/>
  <c r="L12" i="13"/>
  <c r="K12" i="13"/>
  <c r="J12" i="13"/>
  <c r="I12" i="13"/>
  <c r="H12" i="13"/>
  <c r="G12" i="13"/>
  <c r="F12" i="13"/>
  <c r="W12" i="13" l="1"/>
  <c r="W33" i="13"/>
  <c r="W35" i="13" l="1"/>
  <c r="X35" i="13" s="1"/>
  <c r="D17" i="2" l="1"/>
  <c r="G17" i="2"/>
  <c r="E57" i="1" l="1"/>
  <c r="E41" i="1"/>
  <c r="E40" i="1"/>
  <c r="E39" i="1"/>
  <c r="E38" i="1"/>
  <c r="E37" i="1"/>
  <c r="E36" i="1"/>
  <c r="E35" i="1"/>
  <c r="E33" i="1"/>
  <c r="E32" i="1"/>
  <c r="E31" i="1"/>
  <c r="E29" i="1"/>
  <c r="E27" i="1"/>
  <c r="E26" i="1"/>
  <c r="E24" i="1"/>
  <c r="E22" i="1"/>
  <c r="E21" i="1"/>
  <c r="E20" i="1"/>
  <c r="E13" i="1"/>
  <c r="E7" i="1"/>
  <c r="L6" i="1"/>
  <c r="L16" i="1"/>
  <c r="L23" i="1"/>
  <c r="L30" i="1"/>
  <c r="N3" i="10"/>
  <c r="N69" i="10"/>
  <c r="N66" i="10"/>
  <c r="N68" i="10"/>
  <c r="E28" i="1"/>
  <c r="N32" i="10"/>
  <c r="N25" i="10"/>
  <c r="N29" i="10"/>
  <c r="H14" i="2"/>
  <c r="K6" i="1"/>
  <c r="K16" i="1"/>
  <c r="K43" i="1"/>
  <c r="K49" i="1"/>
  <c r="K56" i="1"/>
  <c r="K71" i="1"/>
  <c r="K79" i="1"/>
  <c r="N16" i="10"/>
  <c r="N11" i="10"/>
  <c r="N5" i="10"/>
  <c r="N10" i="10"/>
  <c r="N61" i="10"/>
  <c r="N67" i="10"/>
  <c r="N72" i="10"/>
  <c r="N49" i="10"/>
  <c r="K30" i="1"/>
  <c r="N36" i="10"/>
  <c r="N27" i="10"/>
  <c r="J6" i="1"/>
  <c r="J16" i="1"/>
  <c r="J30" i="1"/>
  <c r="J49" i="1"/>
  <c r="J56" i="1"/>
  <c r="J71" i="1"/>
  <c r="J79" i="1"/>
  <c r="E45" i="1"/>
  <c r="E44" i="1"/>
  <c r="N14" i="10"/>
  <c r="G30" i="1"/>
  <c r="F23" i="1"/>
  <c r="I16" i="1"/>
  <c r="H16" i="1"/>
  <c r="G16" i="1"/>
  <c r="M16" i="1"/>
  <c r="N16" i="1"/>
  <c r="O16" i="1"/>
  <c r="P16" i="1"/>
  <c r="Q16" i="1"/>
  <c r="F16" i="1"/>
  <c r="N63" i="10"/>
  <c r="N65" i="10"/>
  <c r="N54" i="10"/>
  <c r="I30" i="1"/>
  <c r="N31" i="10"/>
  <c r="N34" i="10"/>
  <c r="N26" i="10"/>
  <c r="N37" i="10"/>
  <c r="P2" i="5"/>
  <c r="L5" i="1" l="1"/>
  <c r="J55" i="1"/>
  <c r="K55" i="1"/>
  <c r="K42" i="1" s="1"/>
  <c r="J43" i="1"/>
  <c r="P3" i="5"/>
  <c r="P5" i="5"/>
  <c r="P4" i="5"/>
  <c r="J42" i="1" l="1"/>
  <c r="D21" i="5"/>
  <c r="D20" i="5"/>
  <c r="D19" i="5"/>
  <c r="F16" i="5"/>
  <c r="F15" i="5"/>
  <c r="F14" i="5"/>
  <c r="H13" i="5"/>
  <c r="I16" i="5" s="1"/>
  <c r="I14" i="5" l="1"/>
  <c r="I15" i="5"/>
  <c r="N5" i="5"/>
  <c r="R5" i="5" s="1"/>
  <c r="E47" i="1"/>
  <c r="N15" i="10"/>
  <c r="N13" i="10"/>
  <c r="N12" i="10"/>
  <c r="N3" i="5" l="1"/>
  <c r="R3" i="5" s="1"/>
  <c r="N4" i="5"/>
  <c r="R4" i="5" s="1"/>
  <c r="I14" i="2"/>
  <c r="C30" i="1"/>
  <c r="C23" i="1"/>
  <c r="C16" i="1"/>
  <c r="C6" i="1"/>
  <c r="E19" i="1"/>
  <c r="E18" i="1"/>
  <c r="E51" i="1"/>
  <c r="C49" i="1"/>
  <c r="D49" i="1"/>
  <c r="C43" i="1"/>
  <c r="D43" i="1"/>
  <c r="D16" i="1"/>
  <c r="R6" i="5" l="1"/>
  <c r="C5" i="1"/>
  <c r="C56" i="1"/>
  <c r="N64" i="10"/>
  <c r="N62" i="10"/>
  <c r="N60" i="10"/>
  <c r="N59" i="10"/>
  <c r="N58" i="10"/>
  <c r="N57" i="10"/>
  <c r="N55" i="10"/>
  <c r="N50" i="10"/>
  <c r="N38" i="10"/>
  <c r="N35" i="10"/>
  <c r="N33" i="10"/>
  <c r="N30" i="10"/>
  <c r="N28" i="10"/>
  <c r="N24" i="10"/>
  <c r="N19" i="10"/>
  <c r="N9" i="10"/>
  <c r="N8" i="10"/>
  <c r="N7" i="10"/>
  <c r="N6" i="10"/>
  <c r="N4" i="10"/>
  <c r="N2" i="10"/>
  <c r="N73" i="10" l="1"/>
  <c r="N20" i="10"/>
  <c r="N39" i="10"/>
  <c r="E53" i="1"/>
  <c r="E50" i="1"/>
  <c r="E52" i="1"/>
  <c r="E66" i="1" l="1"/>
  <c r="E46" i="1"/>
  <c r="F14" i="2"/>
  <c r="E14" i="2"/>
  <c r="C14" i="2"/>
  <c r="B14" i="2"/>
  <c r="D8" i="5" l="1"/>
  <c r="C71" i="1" l="1"/>
  <c r="D79" i="1" l="1"/>
  <c r="D71" i="1"/>
  <c r="D56" i="1"/>
  <c r="D30" i="1"/>
  <c r="D5" i="1" s="1"/>
  <c r="D23" i="1"/>
  <c r="D6" i="1"/>
  <c r="E82" i="1"/>
  <c r="C82" i="1" s="1"/>
  <c r="E81" i="1"/>
  <c r="C81" i="1" s="1"/>
  <c r="E80" i="1"/>
  <c r="Q79" i="1"/>
  <c r="P79" i="1"/>
  <c r="O79" i="1"/>
  <c r="N79" i="1"/>
  <c r="M79" i="1"/>
  <c r="L79" i="1"/>
  <c r="I79" i="1"/>
  <c r="H79" i="1"/>
  <c r="G79" i="1"/>
  <c r="F79" i="1"/>
  <c r="E77" i="1"/>
  <c r="E76" i="1"/>
  <c r="E75" i="1"/>
  <c r="E74" i="1"/>
  <c r="I71" i="1"/>
  <c r="E72" i="1"/>
  <c r="Q71" i="1"/>
  <c r="P71" i="1"/>
  <c r="O71" i="1"/>
  <c r="N71" i="1"/>
  <c r="M71" i="1"/>
  <c r="L71" i="1"/>
  <c r="H71" i="1"/>
  <c r="G71" i="1"/>
  <c r="F71" i="1"/>
  <c r="E70" i="1"/>
  <c r="E69" i="1"/>
  <c r="E67" i="1"/>
  <c r="E65" i="1"/>
  <c r="E68" i="1"/>
  <c r="E64" i="1"/>
  <c r="E63" i="1"/>
  <c r="E62" i="1"/>
  <c r="Q56" i="1"/>
  <c r="I56" i="1"/>
  <c r="E60" i="1"/>
  <c r="E59" i="1"/>
  <c r="E58" i="1"/>
  <c r="P56" i="1"/>
  <c r="O56" i="1"/>
  <c r="N56" i="1"/>
  <c r="M56" i="1"/>
  <c r="L56" i="1"/>
  <c r="H56" i="1"/>
  <c r="F56" i="1"/>
  <c r="G49" i="1"/>
  <c r="O49" i="1"/>
  <c r="L49" i="1"/>
  <c r="P49" i="1"/>
  <c r="N49" i="1"/>
  <c r="M49" i="1"/>
  <c r="I49" i="1"/>
  <c r="H49" i="1"/>
  <c r="F49" i="1"/>
  <c r="Q43" i="1"/>
  <c r="P43" i="1"/>
  <c r="O43" i="1"/>
  <c r="N43" i="1"/>
  <c r="M43" i="1"/>
  <c r="L43" i="1"/>
  <c r="I43" i="1"/>
  <c r="G43" i="1"/>
  <c r="F43" i="1"/>
  <c r="E34" i="1"/>
  <c r="E30" i="1" s="1"/>
  <c r="Q30" i="1"/>
  <c r="P30" i="1"/>
  <c r="O30" i="1"/>
  <c r="N30" i="1"/>
  <c r="M30" i="1"/>
  <c r="H30" i="1"/>
  <c r="F30" i="1"/>
  <c r="E25" i="1"/>
  <c r="E23" i="1" s="1"/>
  <c r="Q23" i="1"/>
  <c r="P23" i="1"/>
  <c r="O23" i="1"/>
  <c r="N23" i="1"/>
  <c r="M23" i="1"/>
  <c r="K23" i="1"/>
  <c r="K5" i="1" s="1"/>
  <c r="J23" i="1"/>
  <c r="J5" i="1" s="1"/>
  <c r="I23" i="1"/>
  <c r="H23" i="1"/>
  <c r="G23" i="1"/>
  <c r="E17" i="1"/>
  <c r="E16" i="1" s="1"/>
  <c r="E15" i="1"/>
  <c r="E14" i="1"/>
  <c r="E12" i="1"/>
  <c r="E11" i="1"/>
  <c r="E10" i="1"/>
  <c r="E9" i="1"/>
  <c r="E8" i="1"/>
  <c r="Q6" i="1"/>
  <c r="P6" i="1"/>
  <c r="O6" i="1"/>
  <c r="N6" i="1"/>
  <c r="M6" i="1"/>
  <c r="I6" i="1"/>
  <c r="I5" i="1" s="1"/>
  <c r="H6" i="1"/>
  <c r="G6" i="1"/>
  <c r="F6" i="1"/>
  <c r="G5" i="1" l="1"/>
  <c r="D55" i="1"/>
  <c r="D42" i="1" s="1"/>
  <c r="E6" i="1"/>
  <c r="E5" i="1" s="1"/>
  <c r="L55" i="1"/>
  <c r="L42" i="1" s="1"/>
  <c r="H5" i="1"/>
  <c r="F5" i="1"/>
  <c r="M55" i="1"/>
  <c r="M42" i="1" s="1"/>
  <c r="N55" i="1"/>
  <c r="N42" i="1" s="1"/>
  <c r="I55" i="1"/>
  <c r="I42" i="1" s="1"/>
  <c r="P55" i="1"/>
  <c r="P42" i="1" s="1"/>
  <c r="O55" i="1"/>
  <c r="O42" i="1" s="1"/>
  <c r="Q55" i="1"/>
  <c r="H55" i="1"/>
  <c r="F55" i="1"/>
  <c r="F42" i="1" s="1"/>
  <c r="C79" i="1"/>
  <c r="E48" i="1"/>
  <c r="E43" i="1" s="1"/>
  <c r="E54" i="1"/>
  <c r="E49" i="1" s="1"/>
  <c r="E73" i="1"/>
  <c r="E78" i="1"/>
  <c r="Q5" i="1"/>
  <c r="E61" i="1"/>
  <c r="E56" i="1" s="1"/>
  <c r="H43" i="1"/>
  <c r="O5" i="1"/>
  <c r="N5" i="1"/>
  <c r="M5" i="1"/>
  <c r="P5" i="1"/>
  <c r="Q49" i="1"/>
  <c r="E79" i="1"/>
  <c r="G56" i="1"/>
  <c r="C55" i="1" l="1"/>
  <c r="C42" i="1" s="1"/>
  <c r="G55" i="1"/>
  <c r="G42" i="1" s="1"/>
  <c r="G84" i="1" s="1"/>
  <c r="E71" i="1"/>
  <c r="E55" i="1" s="1"/>
  <c r="E42" i="1" s="1"/>
  <c r="E84" i="1" s="1"/>
  <c r="J84" i="1"/>
  <c r="L84" i="1"/>
  <c r="K84" i="1"/>
  <c r="Q42" i="1"/>
  <c r="Q84" i="1" s="1"/>
  <c r="N84" i="1"/>
  <c r="P84" i="1"/>
  <c r="F84" i="1"/>
  <c r="I84" i="1"/>
  <c r="O84" i="1"/>
  <c r="H42" i="1"/>
  <c r="H84" i="1" s="1"/>
  <c r="M84" i="1"/>
  <c r="L2" i="5" l="1"/>
  <c r="L5" i="5" s="1"/>
  <c r="L3" i="5"/>
  <c r="L4" i="5" l="1"/>
  <c r="F23" i="5" l="1"/>
  <c r="F3" i="5" l="1"/>
  <c r="F5" i="5"/>
  <c r="F4" i="5"/>
  <c r="F8" i="5"/>
  <c r="H7" i="5"/>
  <c r="I11" i="5" s="1"/>
  <c r="H2" i="5"/>
  <c r="I3" i="5" l="1"/>
  <c r="I4" i="5" s="1"/>
  <c r="H23" i="5"/>
  <c r="I5" i="5"/>
  <c r="I8" i="5"/>
  <c r="I9" i="5"/>
  <c r="I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12" authorId="0" shapeId="0" xr:uid="{7F40F03C-CC75-A946-8131-98F623C141F5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Pasākums atcelts</t>
        </r>
      </text>
    </comment>
    <comment ref="L18" authorId="0" shapeId="0" xr:uid="{E1A89BB9-CA9C-6945-8E98-A898ADF4AA15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Pasākums atcelts</t>
        </r>
      </text>
    </comment>
    <comment ref="L20" authorId="0" shapeId="0" xr:uid="{BE033C46-2F41-2C47-88B7-5B16FC2B3F85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-2000 
</t>
        </r>
        <r>
          <rPr>
            <sz val="12"/>
            <color rgb="FF000000"/>
            <rFont val="Calibri"/>
            <family val="2"/>
          </rPr>
          <t>Pasākums atcelts</t>
        </r>
      </text>
    </comment>
    <comment ref="L21" authorId="0" shapeId="0" xr:uid="{3B56EF25-25FA-1149-B8B5-13DE8F947F47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-2000 
</t>
        </r>
        <r>
          <rPr>
            <sz val="12"/>
            <color rgb="FF000000"/>
            <rFont val="Calibri"/>
            <family val="2"/>
          </rPr>
          <t>Pasākums atcelts</t>
        </r>
      </text>
    </comment>
    <comment ref="L22" authorId="0" shapeId="0" xr:uid="{9D339B3C-848A-F049-8BFE-31C87C87D634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-2000 
</t>
        </r>
        <r>
          <rPr>
            <sz val="12"/>
            <color rgb="FF000000"/>
            <rFont val="Calibri"/>
            <family val="2"/>
          </rPr>
          <t>Pasākums atcelts</t>
        </r>
      </text>
    </comment>
    <comment ref="P25" authorId="0" shapeId="0" xr:uid="{0ECDDA9D-2ACA-0C4C-BE37-0D00958A66D6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+1000 
</t>
        </r>
        <r>
          <rPr>
            <sz val="12"/>
            <color rgb="FF000000"/>
            <rFont val="Calibri"/>
            <family val="2"/>
          </rPr>
          <t>Papildus izdevumi ziemas remontam.</t>
        </r>
      </text>
    </comment>
    <comment ref="L26" authorId="0" shapeId="0" xr:uid="{407F8E20-E935-8546-B03A-78E7B0BB334E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+6000 
</t>
        </r>
        <r>
          <rPr>
            <sz val="12"/>
            <color rgb="FF000000"/>
            <rFont val="Calibri"/>
            <family val="2"/>
          </rPr>
          <t>Pasākumā piedalās vairāk dalībnieku. Plus sacensībām arī MTN.</t>
        </r>
      </text>
    </comment>
    <comment ref="L28" authorId="0" shapeId="0" xr:uid="{387C512C-D5AA-4947-8798-19670783A248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-600 
</t>
        </r>
        <r>
          <rPr>
            <sz val="12"/>
            <color rgb="FF000000"/>
            <rFont val="Calibri"/>
            <family val="2"/>
          </rPr>
          <t>Pāriet uz EČ Ārvalstu komandējumi</t>
        </r>
      </text>
    </comment>
    <comment ref="L29" authorId="0" shapeId="0" xr:uid="{028F9075-2D6B-1A46-9059-2BABFA1C52BE}">
      <text>
        <r>
          <rPr>
            <b/>
            <sz val="12"/>
            <color rgb="FF000000"/>
            <rFont val="Times New Roman"/>
            <family val="1"/>
            <charset val="204"/>
          </rPr>
          <t>admin: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-500 EUR, Pāriet uz EČ Ārvalstu komandējumi</t>
        </r>
      </text>
    </comment>
    <comment ref="L31" authorId="0" shapeId="0" xr:uid="{55816F9F-4A07-0A4F-91A0-249B0B89812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- 2000,00
Pāriet uz Eiropas čempionāta Ārvalstu komandējumi</t>
        </r>
      </text>
    </comment>
    <comment ref="C36" authorId="0" shapeId="0" xr:uid="{12004B32-A846-D34D-83F4-6846E8911B3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Aizstāts pret Okolo jižních Čech/Tour of South Bohemia UCI 2.2 ME sacensībām</t>
        </r>
      </text>
    </comment>
    <comment ref="E36" authorId="0" shapeId="0" xr:uid="{FC41B13B-7584-6D4A-B3C7-B8BE1A9BF2E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iepriekš Čerhija</t>
        </r>
      </text>
    </comment>
    <comment ref="C40" authorId="0" shapeId="0" xr:uid="{9C8BDB4D-6906-E74E-ACCC-5ABEA4CF9C0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Mainīta lokācijas vieta</t>
        </r>
      </text>
    </comment>
    <comment ref="L40" authorId="0" shapeId="0" xr:uid="{661B4D8F-369F-2B4F-8199-BF8F554AC858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Finansējums palielināts dēļ ietaupījuma uz Eiropas un pasaules čempionāta rēķina</t>
        </r>
      </text>
    </comment>
    <comment ref="L41" authorId="0" shapeId="0" xr:uid="{E1E5A65B-1A8A-164B-A4ED-743CD57A70BC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Pasākums atcelts.
</t>
        </r>
      </text>
    </comment>
    <comment ref="L42" authorId="0" shapeId="0" xr:uid="{135596C8-9680-AF42-B3E8-10D8621EC108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Pasākums atcelts</t>
        </r>
      </text>
    </comment>
    <comment ref="K43" authorId="0" shapeId="0" xr:uid="{B88CCFD0-EA86-CE4D-BE19-38BB867B2D7D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Pasākums atcelts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1" authorId="0" shapeId="0" xr:uid="{C056FBE5-1098-FD4E-A6D2-0C56116F681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Atlikušie 5000 tiek segti no IZM finansējuma </t>
        </r>
      </text>
    </comment>
  </commentList>
</comments>
</file>

<file path=xl/sharedStrings.xml><?xml version="1.0" encoding="utf-8"?>
<sst xmlns="http://schemas.openxmlformats.org/spreadsheetml/2006/main" count="1271" uniqueCount="721">
  <si>
    <t>LATVIJAS RITEŅBRAUKŠANAS FEDERĀCIJA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</si>
  <si>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</si>
  <si>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</si>
  <si>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</si>
  <si>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</si>
  <si>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</si>
  <si>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</si>
  <si>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</si>
  <si>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</si>
  <si>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</si>
  <si>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</si>
  <si>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</si>
  <si>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DEC</t>
  </si>
  <si>
    <t>Naudas atlikums uz perioda sākumu:</t>
  </si>
  <si>
    <t>1.1.</t>
  </si>
  <si>
    <t>LSFP – KOPĀ</t>
  </si>
  <si>
    <t>1.1.1.</t>
  </si>
  <si>
    <t>1.1.2.</t>
  </si>
  <si>
    <t>Latvijas Sporta Federāciju padome – treneru darba algas</t>
  </si>
  <si>
    <t>1.1.3.</t>
  </si>
  <si>
    <t>1.1.4.</t>
  </si>
  <si>
    <t>1.1.5.</t>
  </si>
  <si>
    <t>1.1.6.</t>
  </si>
  <si>
    <t>1.1.7.</t>
  </si>
  <si>
    <t>1.2.</t>
  </si>
  <si>
    <t>1.2.1.</t>
  </si>
  <si>
    <t>1.3.</t>
  </si>
  <si>
    <t>LOK – KOPĀ</t>
  </si>
  <si>
    <t>1.3.1.</t>
  </si>
  <si>
    <t>1.3.2.</t>
  </si>
  <si>
    <t>1.3.3.</t>
  </si>
  <si>
    <t>1.3.4.</t>
  </si>
  <si>
    <t>1.3.5.</t>
  </si>
  <si>
    <t>Latvijas Olimpiskā komiteja - AP - Vienības brauciens</t>
  </si>
  <si>
    <t>1.4.</t>
  </si>
  <si>
    <t>LRF ieņēmumi - KOPĀ</t>
  </si>
  <si>
    <t>1.4.1.</t>
  </si>
  <si>
    <t>1.4.2.</t>
  </si>
  <si>
    <t>Biedru nauda</t>
  </si>
  <si>
    <t>1.4.3.</t>
  </si>
  <si>
    <t>Licences</t>
  </si>
  <si>
    <t>1.4.4.</t>
  </si>
  <si>
    <t>1.4.5.</t>
  </si>
  <si>
    <t>1.4.6.</t>
  </si>
  <si>
    <t>Ziedojumi un dāvinājumi LR fiz.pers. (nauda)</t>
  </si>
  <si>
    <t>1.4.7.</t>
  </si>
  <si>
    <t>1.4.9.</t>
  </si>
  <si>
    <t>1.4.10.</t>
  </si>
  <si>
    <t>2.1.</t>
  </si>
  <si>
    <t>2.1.1.</t>
  </si>
  <si>
    <t xml:space="preserve">BMX izlases </t>
  </si>
  <si>
    <t>2.1.2.</t>
  </si>
  <si>
    <t>MTB izlases</t>
  </si>
  <si>
    <t>2.2.</t>
  </si>
  <si>
    <t>2.2.1.</t>
  </si>
  <si>
    <t>BMX sacensības</t>
  </si>
  <si>
    <t>2.2.2.</t>
  </si>
  <si>
    <t>2.2.4.</t>
  </si>
  <si>
    <t>2.3.</t>
  </si>
  <si>
    <t>Biroja izdevumi</t>
  </si>
  <si>
    <t>2.3.1.</t>
  </si>
  <si>
    <t>2.3.2.</t>
  </si>
  <si>
    <t>2.3.3.</t>
  </si>
  <si>
    <t>Kancelejas preces, datortehnikas progr., poligrāfija u.c.</t>
  </si>
  <si>
    <t>Zvērināts revidents</t>
  </si>
  <si>
    <t>Saimn., reprezent., pasta, u.c. izdevumi</t>
  </si>
  <si>
    <t>Starptautiskās biedru naudas (UCI, UEC, Nordic)</t>
  </si>
  <si>
    <t>Pamatlīdzekļu nolietojums</t>
  </si>
  <si>
    <t>Transporta izdevumi</t>
  </si>
  <si>
    <t>VW Crafter nomaksa</t>
  </si>
  <si>
    <t>VW Crafter apdrošināšana, tehn., remonts</t>
  </si>
  <si>
    <t>Degvielas izdevumi</t>
  </si>
  <si>
    <t>VW Passat līzings</t>
  </si>
  <si>
    <t>VW Passat apdrošināšana, tehn., remonts</t>
  </si>
  <si>
    <t>Sociālie maksājumi</t>
  </si>
  <si>
    <t>Riska valsts nodeva</t>
  </si>
  <si>
    <t>Algas administrācijai</t>
  </si>
  <si>
    <t>Debitoru atlikums</t>
  </si>
  <si>
    <t>Sakaru pakalpojumi</t>
  </si>
  <si>
    <t>Administratīvie izdevumi</t>
  </si>
  <si>
    <t>KOPĀ</t>
  </si>
  <si>
    <t>IZDEVUMI</t>
  </si>
  <si>
    <t>IEŅĒMUMI</t>
  </si>
  <si>
    <t>Bankas izd., dažādi</t>
  </si>
  <si>
    <t>Datortehnikas apkalpošana</t>
  </si>
  <si>
    <t>Telpu īre, komunālie (birojs, garāža)</t>
  </si>
  <si>
    <t>Reāli 2021</t>
  </si>
  <si>
    <t>LSFP pamatfinansējums 21/58</t>
  </si>
  <si>
    <t>LRF biroja izdevumiem</t>
  </si>
  <si>
    <t>Šosejas, MTB sacensību organizēšanai</t>
  </si>
  <si>
    <t>Šosejas, MTB sacensību organizēšana</t>
  </si>
  <si>
    <t>Šosejas elites, junioru un jauniešu izlases</t>
  </si>
  <si>
    <t>Šoseja</t>
  </si>
  <si>
    <t>BMX</t>
  </si>
  <si>
    <t>LRF birojs</t>
  </si>
  <si>
    <t>LOK pamatfinansējums / 4.18.1</t>
  </si>
  <si>
    <t>LOK finansējums par AKSS / 4.18.4</t>
  </si>
  <si>
    <t>Latvijas Olimpiskā komiteja - LOV sportisti 4.18.2.</t>
  </si>
  <si>
    <t>Latvijas Olimpiskā komiteja - pamatfinansējums 4.18.1.</t>
  </si>
  <si>
    <t>Latvijas Olimpiskā komiteja - augsti sasniegumi 4.18.4.</t>
  </si>
  <si>
    <t>Biedru naudas</t>
  </si>
  <si>
    <t>MAY</t>
  </si>
  <si>
    <t>OCT</t>
  </si>
  <si>
    <t>Šosejas, MTB izlases</t>
  </si>
  <si>
    <t>Latvijas Sporta Federāciju padome - pamatfinansējums (21/58) / (22/57)</t>
  </si>
  <si>
    <t>Latvijas Sporta Federāciju padome – AP - LVM maratons/Vivus-MTB (22/02+22/03)</t>
  </si>
  <si>
    <t>1.1.8.</t>
  </si>
  <si>
    <t>Latvijas Sporta Federāciju padome – AP - Pludmales spēles (22/15)</t>
  </si>
  <si>
    <t>Latvijas Sporta Federāciju padome – AP - Vienības brauciens (21/03); (22/01)</t>
  </si>
  <si>
    <t>1.2.2.</t>
  </si>
  <si>
    <t>1.1.9.</t>
  </si>
  <si>
    <t>Reāli 2022</t>
  </si>
  <si>
    <t>2.1.3.</t>
  </si>
  <si>
    <t>2.1.4.</t>
  </si>
  <si>
    <t>Latvijas Sporta Federāciju padome – Covid finansējums</t>
  </si>
  <si>
    <t>Ieņēmumi no  pakalpojumiem</t>
  </si>
  <si>
    <t>Licence par "Vienības brauciens" organizēšanu</t>
  </si>
  <si>
    <t>Ziedojumi un dāvinājumi neierobežotai lietošanai - juridiskās personas (nauda)</t>
  </si>
  <si>
    <t>Ziedojumi un dāvinājumi noteiktiem mērķiem - juridiskās personas (nauda)</t>
  </si>
  <si>
    <t>Vispārējie ieņēmumi biedrības darbības nodrošināšanai (dotācijas)</t>
  </si>
  <si>
    <t>Vispārējie ieņēmumi biedrības darbības nodrošināšanai (finansējumi)</t>
  </si>
  <si>
    <t>Ieņēmumi no līdzfinansējuma pasākumos (dalības maksas)</t>
  </si>
  <si>
    <t>Citi ieņēmumi - līdzfinansējumi (vecāki), Jaunatnes fonds</t>
  </si>
  <si>
    <t>Ieņēmumi no līdzfinansējuma pasākumos (startptautiskās organizācijas, pašvaldības)</t>
  </si>
  <si>
    <t>BMX izlases - AP</t>
  </si>
  <si>
    <t>Šosejas, MTB izlases - AP</t>
  </si>
  <si>
    <t>2.2.3.</t>
  </si>
  <si>
    <t>Semināri, izglītības pasākumi</t>
  </si>
  <si>
    <t>Škoda automašīnu reklāmas izmaksas</t>
  </si>
  <si>
    <t>LOV sportisti - BMX</t>
  </si>
  <si>
    <t>LOV sportisti - šoseja, MTB</t>
  </si>
  <si>
    <t>Rīga</t>
  </si>
  <si>
    <t>01.07.</t>
  </si>
  <si>
    <t>BMX pasākumi</t>
  </si>
  <si>
    <t>Šosejas pasākumi</t>
  </si>
  <si>
    <t>Šosejas, MTB sacensības</t>
  </si>
  <si>
    <t>Šosejas, MTB sacensības - AP</t>
  </si>
  <si>
    <t>2.2.5.</t>
  </si>
  <si>
    <t xml:space="preserve">Latvijas čempionāts MTB XCO krosā </t>
  </si>
  <si>
    <t>Latvijas čempionāts MTB maratonā</t>
  </si>
  <si>
    <t>Kuldīgas novada pašvaldība</t>
  </si>
  <si>
    <t>Talsu novada pašvaldība</t>
  </si>
  <si>
    <t>Ogres novada pašvaldība</t>
  </si>
  <si>
    <t>Smiltenes novada pašvaldība</t>
  </si>
  <si>
    <t>Kopējais</t>
  </si>
  <si>
    <t>Valmiera</t>
  </si>
  <si>
    <t>Rīgas valstspilsētas pašvaldība</t>
  </si>
  <si>
    <t>Mārupes novada pašvaldība</t>
  </si>
  <si>
    <t>Liepājas pilsētas pašvaldība, Sporta pārvalde</t>
  </si>
  <si>
    <t>Jelgavas Sporta servisa centrs</t>
  </si>
  <si>
    <t>Siguldas novada pašvaldība</t>
  </si>
  <si>
    <t>Dobeles novada pašvaldība</t>
  </si>
  <si>
    <t>Latvijas valsts meži, AS</t>
  </si>
  <si>
    <t>Velo Express, SIA</t>
  </si>
  <si>
    <t>Green Motors, SIA</t>
  </si>
  <si>
    <t>VIRŠI-A, AS</t>
  </si>
  <si>
    <t>BSC group, SIA</t>
  </si>
  <si>
    <t>RD SPORTS, SIA</t>
  </si>
  <si>
    <t>Veloprofs.lv, SIA</t>
  </si>
  <si>
    <t>VUDLANDE, SIA</t>
  </si>
  <si>
    <t>MARKOL, SIA</t>
  </si>
  <si>
    <t>Garmin Polska Sp.z.o.o</t>
  </si>
  <si>
    <t>Bērnu klīniskā universitātes slimnīca</t>
  </si>
  <si>
    <t>Saņemtie ziedojumi un dāvinājumi neierobežotai lietošanai - juridiskas personas</t>
  </si>
  <si>
    <t>Ziedojumi un dāvinājumi noteiktiem mērķiem - juridiskās personas</t>
  </si>
  <si>
    <t>SAUKAS KŪDRA, SIA</t>
  </si>
  <si>
    <t>Baltic Builders Alliance, SIA</t>
  </si>
  <si>
    <t>Erica Synths, SIA</t>
  </si>
  <si>
    <t>ELSANA, SIA</t>
  </si>
  <si>
    <t>Laflora SIA</t>
  </si>
  <si>
    <t>Saulkrastu novada pašvaldība</t>
  </si>
  <si>
    <t>VĒVERS, SIA</t>
  </si>
  <si>
    <t>Projekts EKLV SIA</t>
  </si>
  <si>
    <t>ASE, SIA</t>
  </si>
  <si>
    <t>Reālais 2023</t>
  </si>
  <si>
    <t>Pamatlīdzekļu iegāde</t>
  </si>
  <si>
    <t>Papildus dotācijas – KOPĀ</t>
  </si>
  <si>
    <t>1.4.8.</t>
  </si>
  <si>
    <t>1.2.3.</t>
  </si>
  <si>
    <t>1.2.4.</t>
  </si>
  <si>
    <t>1.2.5.</t>
  </si>
  <si>
    <t>Škoda automašīnu apdrošināšana, tehn., remonts, auto īre</t>
  </si>
  <si>
    <t>Ādažu novada pašvaldība</t>
  </si>
  <si>
    <t>MEŽVALDE AD SIA</t>
  </si>
  <si>
    <t>Valmieras novada pašvaldība</t>
  </si>
  <si>
    <t>Ķekavas novada pašvaldība</t>
  </si>
  <si>
    <t>2.3.1.1.</t>
  </si>
  <si>
    <t>2.3.1.2.</t>
  </si>
  <si>
    <t>2.3.1.3.</t>
  </si>
  <si>
    <t>2.3.1.4.</t>
  </si>
  <si>
    <t>2.3.1.5.</t>
  </si>
  <si>
    <t>2.3.1.6.</t>
  </si>
  <si>
    <t>2.3.1.7.</t>
  </si>
  <si>
    <t>2.3.1.8.</t>
  </si>
  <si>
    <t>2.3.1.9.</t>
  </si>
  <si>
    <t>2.3.1.10.</t>
  </si>
  <si>
    <t>2.3.1.11.</t>
  </si>
  <si>
    <t>2.3.1.12.</t>
  </si>
  <si>
    <t>2.3.1.13.</t>
  </si>
  <si>
    <t>2.3.1.14.</t>
  </si>
  <si>
    <t>2.3.2.1.</t>
  </si>
  <si>
    <t>2.3.2.2.</t>
  </si>
  <si>
    <t>2.3.2.3.</t>
  </si>
  <si>
    <t>2.3.2.4.</t>
  </si>
  <si>
    <t>2.3.2.5.</t>
  </si>
  <si>
    <t>2.3.2.6.</t>
  </si>
  <si>
    <t>2.3.2.7.</t>
  </si>
  <si>
    <t>2.3.3.1.</t>
  </si>
  <si>
    <t>2.3.3.2.</t>
  </si>
  <si>
    <t>2.3.3.3.</t>
  </si>
  <si>
    <t>Darba samaksa</t>
  </si>
  <si>
    <t>2.1.5.</t>
  </si>
  <si>
    <t>BMX sacensības - AP</t>
  </si>
  <si>
    <t>IZM</t>
  </si>
  <si>
    <t>Latvijas Sporta Federāciju padome – AP - BMX EK Valmiera (22/19); (23/31)</t>
  </si>
  <si>
    <t>ZVIEDRI SIA</t>
  </si>
  <si>
    <t>INSESO</t>
  </si>
  <si>
    <t>Saldus TIKS</t>
  </si>
  <si>
    <t>VOC</t>
  </si>
  <si>
    <t>AVOTI, SIA</t>
  </si>
  <si>
    <t>Balcia Insurance</t>
  </si>
  <si>
    <t>LAUKU APGĀDS UN MELIORĀCIJA, SIA</t>
  </si>
  <si>
    <t>Gulbenes novada pašvaldība</t>
  </si>
  <si>
    <t>Dienvidkurzemes novada pašvaldība</t>
  </si>
  <si>
    <t>Grāmatvedības pakalpojumi</t>
  </si>
  <si>
    <t>1.3.6.</t>
  </si>
  <si>
    <t>Latvijas Olimpiskā komiteja - AP - EYOF</t>
  </si>
  <si>
    <t>1.2.6.</t>
  </si>
  <si>
    <t xml:space="preserve">IZM prioritāro federāciju finansējums </t>
  </si>
  <si>
    <t>MD Bruģis</t>
  </si>
  <si>
    <t>Projekts EAE</t>
  </si>
  <si>
    <t>O-SANDS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</si>
  <si>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</si>
  <si>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t>1.PIELIKUMS</t>
  </si>
  <si>
    <r>
      <t>Organizācijas nosaukums: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>Latvijas Riteņbraukšanas federācija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</si>
  <si>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</si>
  <si>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204"/>
      </rPr>
      <t>Adrese, kontakttālrunis: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</si>
  <si>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186"/>
      </rPr>
      <t>Apakšprogrammas Nr.</t>
    </r>
    <r>
      <rPr>
        <sz val="12"/>
        <rFont val="Times New Roman"/>
        <family val="1"/>
        <charset val="186"/>
      </rPr>
      <t xml:space="preserve"> </t>
    </r>
  </si>
  <si>
    <t>N.p.k.</t>
  </si>
  <si>
    <t>Pasākuma sarīkošanas laiks (kalendārā secībā)</t>
  </si>
  <si>
    <t>Pasākuma nosaukums</t>
  </si>
  <si>
    <t>Dalībnieku skaits</t>
  </si>
  <si>
    <t>Vieta</t>
  </si>
  <si>
    <t>Mēnešalga</t>
  </si>
  <si>
    <t>Piemaksas, prēmijas un naudas balvas</t>
  </si>
  <si>
    <t>Atalgojums fiziskajām personām uz tiesiskās attiecības regulējošu dokumentu pamata</t>
  </si>
  <si>
    <t>Darba devēja valsts sociālās apdrošināšanas obligātās iemaksas</t>
  </si>
  <si>
    <t>Darba devēja sociāla rakstura pabalsti, kompensācijas un citi maksājumi</t>
  </si>
  <si>
    <t>Iekšzemes mācību, darba un dienesta komandējumi, darba braucieni</t>
  </si>
  <si>
    <t>Ārvalstu mācību, darba un dienesta komandējumi, darba braucieni</t>
  </si>
  <si>
    <t>Izdevumi par sakaru pakalpojumiem</t>
  </si>
  <si>
    <t>Izdevumi par komunālajiem pakalpojumiem</t>
  </si>
  <si>
    <t>Dažādi pakalpojumi</t>
  </si>
  <si>
    <t>Remontdarbi un iestāžu uzturēšanas pakalpojumi (izņemot kapitālo remontu)</t>
  </si>
  <si>
    <t>Informācijas tehnoloģiju pakalpojumi</t>
  </si>
  <si>
    <t>Īre un noma</t>
  </si>
  <si>
    <t>Izdevumi par dažādām precēm un inventāru</t>
  </si>
  <si>
    <t>Kurināmais un enerģētiskie materiāli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</si>
  <si>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</si>
  <si>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</si>
  <si>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</si>
  <si>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t xml:space="preserve"> Pārējas preces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</si>
  <si>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</si>
  <si>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</si>
  <si>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</si>
  <si>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</si>
  <si>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Biedra naudas, dalības maksa un iemaksas starptautiskajās institūcijās</t>
  </si>
  <si>
    <t>Izdevumi kopā</t>
  </si>
  <si>
    <t>1.jūlijs</t>
  </si>
  <si>
    <t>BMX Latvijas čempionāts</t>
  </si>
  <si>
    <t>6-9.jūlijs</t>
  </si>
  <si>
    <t>BMX Eiropas čempionāts</t>
  </si>
  <si>
    <t>Besancon, Francija</t>
  </si>
  <si>
    <t>BMX Freestyle Pasaules kauss</t>
  </si>
  <si>
    <t>3-13.augusts</t>
  </si>
  <si>
    <t>BMX Pasaules čempionāts</t>
  </si>
  <si>
    <t>Glasgow, Skotija</t>
  </si>
  <si>
    <t>3-9.augusts</t>
  </si>
  <si>
    <t>BMX Freestyle Pasaules čempionāts</t>
  </si>
  <si>
    <t>9.septembris</t>
  </si>
  <si>
    <t>BMX Nordic Championships</t>
  </si>
  <si>
    <t>22-24.septembris</t>
  </si>
  <si>
    <t>BMX Pasaules kauss 5-6.posms</t>
  </si>
  <si>
    <t>Sarrians, Francija</t>
  </si>
  <si>
    <t>6-8.oktobris</t>
  </si>
  <si>
    <t>BMX Pasaules kauss 7-8.posms</t>
  </si>
  <si>
    <t>Santiago del Estero, Argentīna</t>
  </si>
  <si>
    <t>27-29.oktobris</t>
  </si>
  <si>
    <t>BMX Treneru izglītības kursi</t>
  </si>
  <si>
    <t>18.nobembris</t>
  </si>
  <si>
    <t>Pump-track Pasaules čempionāts</t>
  </si>
  <si>
    <t>Neuquen, Argentīna</t>
  </si>
  <si>
    <t>1-2.decembris</t>
  </si>
  <si>
    <t>Doha, Katara</t>
  </si>
  <si>
    <t>7-9.decembris</t>
  </si>
  <si>
    <t>All Ula, Saudu Arābija</t>
  </si>
  <si>
    <t>BMX Latvijas kauss, posmi</t>
  </si>
  <si>
    <t>Valmiera, Smiltene, Ādaži</t>
  </si>
  <si>
    <t xml:space="preserve">LRF BMX sezonas kopvērtējuma apbalvošana </t>
  </si>
  <si>
    <t>24.-28.maijs</t>
  </si>
  <si>
    <t>Tour of Estonia UCI 2.1. ME</t>
  </si>
  <si>
    <t>7+3</t>
  </si>
  <si>
    <t>Tallina, Tartu, Igaunija</t>
  </si>
  <si>
    <t>14.-16.jūlijs</t>
  </si>
  <si>
    <t>Medzinárodné dni cyklistiky Dubnica nad Váhom UCI 2.1. MJ</t>
  </si>
  <si>
    <t>6+3</t>
  </si>
  <si>
    <t>Dubnica nad Váhom, Slovākija</t>
  </si>
  <si>
    <t>26.-30.jūlijs</t>
  </si>
  <si>
    <t>Watersley Junior Challenge UCI 2.NCUP MJ</t>
  </si>
  <si>
    <t>Nīderlande</t>
  </si>
  <si>
    <t>MTN Beļģija MU</t>
  </si>
  <si>
    <t>2+1</t>
  </si>
  <si>
    <t>Beļģija</t>
  </si>
  <si>
    <t>Pasaules Čempionāts Glasgow (visas kategorijas)</t>
  </si>
  <si>
    <t>13+8</t>
  </si>
  <si>
    <t>Glāzgova, Skotija</t>
  </si>
  <si>
    <t>14.-22.augusts</t>
  </si>
  <si>
    <t>ASVÖ - Radjugendtour (jaunieši)</t>
  </si>
  <si>
    <t>Austrija</t>
  </si>
  <si>
    <t>16.-20.augusts</t>
  </si>
  <si>
    <t>Baltic Chain Tour UCI 2.2. ME</t>
  </si>
  <si>
    <t>6+4</t>
  </si>
  <si>
    <t>Igaunija, Latvija, Lietuva</t>
  </si>
  <si>
    <t>14.-18. septembris</t>
  </si>
  <si>
    <t>18.-26.septembris</t>
  </si>
  <si>
    <t>Eiropas Čempionāts Drenthe (visas kategorijas)</t>
  </si>
  <si>
    <t>14+6</t>
  </si>
  <si>
    <t>10.-12.novembris</t>
  </si>
  <si>
    <t>MTN Murjāņi VFS MJ MU</t>
  </si>
  <si>
    <t>8+1</t>
  </si>
  <si>
    <t>Murjāņi</t>
  </si>
  <si>
    <t>24.-26.novembris</t>
  </si>
  <si>
    <t>MTN Lietuva velotreks</t>
  </si>
  <si>
    <t>Lietuva</t>
  </si>
  <si>
    <t>26.-30.decembris</t>
  </si>
  <si>
    <t>Sporta uzturs</t>
  </si>
  <si>
    <t>-</t>
  </si>
  <si>
    <t>Inventārs</t>
  </si>
  <si>
    <t>Šosejas un MTB treneru seminārs</t>
  </si>
  <si>
    <t xml:space="preserve">LRF šosejas un MTB sezonas kopvērtējuma apbalvošana </t>
  </si>
  <si>
    <t>Visu pasākumu grāmatvedības pakalpojumi</t>
  </si>
  <si>
    <t>Šosejas, MTB izlašu garāža, remontu boks</t>
  </si>
  <si>
    <t>Šosejas, MTB izlašu sacensību transports</t>
  </si>
  <si>
    <t>Starptautiskās federācijas biedru maksa</t>
  </si>
  <si>
    <t>Kopā :</t>
  </si>
  <si>
    <t>Pielikums Nr.1</t>
  </si>
  <si>
    <t>*Tāme ir saskaņota, ja to parakstījis LSFP prezidents vai ģenerālsekretārs</t>
  </si>
  <si>
    <t>Sadarbības līgums Nr. 2.2.1.1-23/57</t>
  </si>
  <si>
    <t>Latvijas Riteņbraukšanas federācija</t>
  </si>
  <si>
    <t>(Organizācijas (federācijas) nosaukums)</t>
  </si>
  <si>
    <t>Plānoto izdevumu TĀME federācijas darbības un aktivitāšu nodrošināšanai 2023.gadā</t>
  </si>
  <si>
    <t xml:space="preserve">EKK piemērošanu skatīt MKN Nr. 1031 </t>
  </si>
  <si>
    <t>LSFP piešķirto valsts budžeta līdzekļu (dotācijas) ietvaros</t>
  </si>
  <si>
    <t>https://likumi.lv/doc.php?id=124833</t>
  </si>
  <si>
    <t>EK kods:</t>
  </si>
  <si>
    <t>Nr.p.k.</t>
  </si>
  <si>
    <t>Pasākuma sarīkošanas laiks           (kalendārā secībā)</t>
  </si>
  <si>
    <t>Pasākuma, aktivitātes nosaukums</t>
  </si>
  <si>
    <t>Dalībn. skaits</t>
  </si>
  <si>
    <t>Darba devēja VSAOI</t>
  </si>
  <si>
    <t>Iekšzemes darba un dienesta komandējumi</t>
  </si>
  <si>
    <t>Ārvalstu darba un dienesta komandējumi</t>
  </si>
  <si>
    <t xml:space="preserve">Pārējās preces </t>
  </si>
  <si>
    <t>Valsts un pašvaldību budžeta dotācija biedrībām un nodibinājumiem</t>
  </si>
  <si>
    <t>1. Finansējums plānotajām aktivitātēm</t>
  </si>
  <si>
    <t>19.-26.06.</t>
  </si>
  <si>
    <t>MTN BMX PČ un EČ trasēs</t>
  </si>
  <si>
    <t>Skotija, Francija</t>
  </si>
  <si>
    <t>3-4.06.</t>
  </si>
  <si>
    <t>BMX Pasaules kauss 1-2.posms</t>
  </si>
  <si>
    <t>Sakarya, Turcija</t>
  </si>
  <si>
    <t>22.04.</t>
  </si>
  <si>
    <t>BMX Freestyle Latvijas čempionāts</t>
  </si>
  <si>
    <t>27-28.05</t>
  </si>
  <si>
    <t>BMX Eiropas kauss 9-10.posms</t>
  </si>
  <si>
    <t>Benatky, Čehija</t>
  </si>
  <si>
    <t>07-09.07</t>
  </si>
  <si>
    <t>23.07.2023.</t>
  </si>
  <si>
    <t>Ogre</t>
  </si>
  <si>
    <t>30.07.2023.</t>
  </si>
  <si>
    <t>Latvijas čempionāts MTB Dowhill</t>
  </si>
  <si>
    <t>Gaiziņkalns</t>
  </si>
  <si>
    <t>09.08.2023.</t>
  </si>
  <si>
    <t>Ape</t>
  </si>
  <si>
    <t>11.11.2023.</t>
  </si>
  <si>
    <t>Latvijas kausa sezonas kopvērtējums</t>
  </si>
  <si>
    <t>Latvija</t>
  </si>
  <si>
    <t>2. Finansējums plānotajām aktivitātēm (bērnu un jauniešu sporta atbalstam)</t>
  </si>
  <si>
    <t>21. - 25.06.</t>
  </si>
  <si>
    <t>Baltijas čempionāts šosejas riteņbraukšanā</t>
  </si>
  <si>
    <t>Rīga, Alīta (Lietuva)</t>
  </si>
  <si>
    <t>24. - 27.08</t>
  </si>
  <si>
    <t>Latvijas čempionāts junioru daudzienā šosejā</t>
  </si>
  <si>
    <t>Dobele</t>
  </si>
  <si>
    <t>20.05-10.09</t>
  </si>
  <si>
    <t>BMX Latvijas kauss</t>
  </si>
  <si>
    <t>Jelgava, Valmiera, Madona, Ventspils</t>
  </si>
  <si>
    <t>3. Finansējums federācijas administratīvo izdevumu segšanai</t>
  </si>
  <si>
    <t>Aprīlis - Novembris</t>
  </si>
  <si>
    <t>Darba alga, izpilddirektors</t>
  </si>
  <si>
    <t>Kopā:</t>
  </si>
  <si>
    <t>Sagatavotājs, telefons:</t>
  </si>
  <si>
    <t>Artis Ozols, 29249944</t>
  </si>
  <si>
    <t>Hostinga pakalp., interneta pieslēg., domēns</t>
  </si>
  <si>
    <t>Latvijas Sporta Federāciju padome – AP (22/14); 23/09-/10-/11</t>
  </si>
  <si>
    <t>Sportisti</t>
  </si>
  <si>
    <t>Apkaple</t>
  </si>
  <si>
    <t>10.</t>
  </si>
  <si>
    <t>23-31.10.2023</t>
  </si>
  <si>
    <t>MTN BMX 2024.gada PČ trasē, C1 sacensības</t>
  </si>
  <si>
    <t>Rock Hill, ASV</t>
  </si>
  <si>
    <t>21.07.2023.</t>
  </si>
  <si>
    <t>Roberta Feldmaņa iela 11. Rīga</t>
  </si>
  <si>
    <t>09.09.</t>
  </si>
  <si>
    <t>12-15.oktobris</t>
  </si>
  <si>
    <t>Bazhong, Ķīna</t>
  </si>
  <si>
    <t>25-26.novembris</t>
  </si>
  <si>
    <t>UEC BMX Komisijas sapulce</t>
  </si>
  <si>
    <t>Amsterdama, Nīderlande</t>
  </si>
  <si>
    <t>26. augusts - 1. oktobris</t>
  </si>
  <si>
    <t>1. septembris - 31. decembris</t>
  </si>
  <si>
    <t>BMX izlases transports</t>
  </si>
  <si>
    <t>27. - 29. oktobris</t>
  </si>
  <si>
    <t>BMX MTN, C1 kategorijas sacensības</t>
  </si>
  <si>
    <t>6-15.janvāris, 2024.</t>
  </si>
  <si>
    <t>BMX izlases MTN Portugāle</t>
  </si>
  <si>
    <t>Farro, Portugāle</t>
  </si>
  <si>
    <t>1.-7.augusts</t>
  </si>
  <si>
    <t>1. - 15. augusts</t>
  </si>
  <si>
    <t>18._ augusts</t>
  </si>
  <si>
    <t>Eiropas čempionāts MTB XCO krosā</t>
  </si>
  <si>
    <t>1+1</t>
  </si>
  <si>
    <t>Portugāle</t>
  </si>
  <si>
    <t>5. - 11. septembris</t>
  </si>
  <si>
    <t>Itālijas kauss</t>
  </si>
  <si>
    <t>Itālija</t>
  </si>
  <si>
    <t>Šosejas un MTB tiesnešu attīstības programma</t>
  </si>
  <si>
    <t>10_ oktobris</t>
  </si>
  <si>
    <t>Chorno de Nations</t>
  </si>
  <si>
    <t>Francija, Chorno</t>
  </si>
  <si>
    <t xml:space="preserve">22. oktobris - 4. novembris </t>
  </si>
  <si>
    <t xml:space="preserve">MTN Polija </t>
  </si>
  <si>
    <t>7+1</t>
  </si>
  <si>
    <t xml:space="preserve">Zakokopone, Polija </t>
  </si>
  <si>
    <t>15. - 31. decembris</t>
  </si>
  <si>
    <t>MTN Antalya, Tucija</t>
  </si>
  <si>
    <t>10+2</t>
  </si>
  <si>
    <t>Antālija, Turcija</t>
  </si>
  <si>
    <t>28. - 29. decembrī</t>
  </si>
  <si>
    <t>Latvijas jaunatnes čempionāta VFS sacensības</t>
  </si>
  <si>
    <t>1. jūlijs - 31. decembris</t>
  </si>
  <si>
    <t>28._decembris</t>
  </si>
  <si>
    <t>12_decembris</t>
  </si>
  <si>
    <t>1. jūnijs - 31. decembris</t>
  </si>
  <si>
    <t>Organizācijas vadītājs ___Toms Markss____________________________</t>
  </si>
  <si>
    <t>VAIDOMA, SIA</t>
  </si>
  <si>
    <t>ALMO HARDWOOD, AS</t>
  </si>
  <si>
    <t>PFI-Salaspils</t>
  </si>
  <si>
    <t>EMU SKULTE, SIA</t>
  </si>
  <si>
    <t>Woodmill, SIA</t>
  </si>
  <si>
    <t>Rīgas Stradiņa universitātes Stomatoloģijas institūts, SIA</t>
  </si>
  <si>
    <t>JAGUAR, SIA</t>
  </si>
  <si>
    <t>IMPRO CEĻOJUMI, SIA</t>
  </si>
  <si>
    <t>HM Agro, SIA</t>
  </si>
  <si>
    <t>Latvijas Gāze AS</t>
  </si>
  <si>
    <t>Aizkraukles novada pašvaldība</t>
  </si>
  <si>
    <t>Latvijas Sporta Federāciju padome – Latvijas kauss, šoseja, treneru kursi (22/15) (23/13)</t>
  </si>
  <si>
    <t>IZM naudas balvas par ISS</t>
  </si>
  <si>
    <t>Talsu auto transports</t>
  </si>
  <si>
    <t>Plāns 2024</t>
  </si>
  <si>
    <t>Reālais 2024</t>
  </si>
  <si>
    <t>MSĢ</t>
  </si>
  <si>
    <t>SOK atbalsts treniņi, sacensības - Parīze 2024 4.18.5.</t>
  </si>
  <si>
    <t>Dažādi, pvn</t>
  </si>
  <si>
    <t>IEŅĒMUMU IZDEVUMU PLĀNS 2024.GADAM</t>
  </si>
  <si>
    <t>Reāli 2023</t>
  </si>
  <si>
    <t>2023. gada ieņēmumu/ izdevumu tāme</t>
  </si>
  <si>
    <t>BČ Šosejā</t>
  </si>
  <si>
    <t>LČ MTB XCO krosā</t>
  </si>
  <si>
    <t>LČ MTB maratonā</t>
  </si>
  <si>
    <t>LČ MTB DH</t>
  </si>
  <si>
    <t>Smiltenes kauss</t>
  </si>
  <si>
    <t>LK Šosejā</t>
  </si>
  <si>
    <t xml:space="preserve">Biķernieku kauss </t>
  </si>
  <si>
    <t xml:space="preserve">LK MTB XCO </t>
  </si>
  <si>
    <t xml:space="preserve">Jaunatnes meist. </t>
  </si>
  <si>
    <t xml:space="preserve">Tiesnešu programma </t>
  </si>
  <si>
    <t xml:space="preserve">Riteņbraukšanas gada balva </t>
  </si>
  <si>
    <t xml:space="preserve">Skolu velo dienas </t>
  </si>
  <si>
    <t>Baltic Chain tour</t>
  </si>
  <si>
    <t>Summas 
kopā</t>
  </si>
  <si>
    <t>Starpība</t>
  </si>
  <si>
    <t>Pozīcija</t>
  </si>
  <si>
    <t>2023 Fakts</t>
  </si>
  <si>
    <t>Plānotais 2024</t>
  </si>
  <si>
    <t xml:space="preserve">2023 Fakts </t>
  </si>
  <si>
    <t>Izdevumi</t>
  </si>
  <si>
    <t>1 diena</t>
  </si>
  <si>
    <t>2 dienas</t>
  </si>
  <si>
    <t>3 dienas</t>
  </si>
  <si>
    <t xml:space="preserve">1 diena </t>
  </si>
  <si>
    <t>5 posmi</t>
  </si>
  <si>
    <t xml:space="preserve">Nav notikušas </t>
  </si>
  <si>
    <t>Pārskaitījums Lietuvas RF</t>
  </si>
  <si>
    <t>Pārskaitījums Igaunijas RF</t>
  </si>
  <si>
    <t xml:space="preserve">Pārskaitījums Allar Tonisara agency </t>
  </si>
  <si>
    <t>Līdzfinansējums RSK Tandēms</t>
  </si>
  <si>
    <t>Līdzfinansējums Smiltenes sporta centram</t>
  </si>
  <si>
    <t>Līdzfinansējums Ķekavas sporta skolai</t>
  </si>
  <si>
    <t>Līdzfinansējums Pļaviņu sk Skanste</t>
  </si>
  <si>
    <t>Līdzfinansējums  Goldingen CT</t>
  </si>
  <si>
    <t>Pārskaitījums Latvijas Kalnu Riteņbraukšanas attīstības centram</t>
  </si>
  <si>
    <t>Pārskaitījums Latvijas Kalnu riteņbraukšanas apvienībai</t>
  </si>
  <si>
    <t>Tiesnešu darba samaksa</t>
  </si>
  <si>
    <t>Sekretāres (2 gab.) darba samaksa</t>
  </si>
  <si>
    <t xml:space="preserve">Tehniskā komanda </t>
  </si>
  <si>
    <t>Vietējā organizatora darba samaksa</t>
  </si>
  <si>
    <t>Apdrošināšana</t>
  </si>
  <si>
    <t>Medicīna VC4</t>
  </si>
  <si>
    <t>Valsts policija</t>
  </si>
  <si>
    <t>Komunālie pakalpojumi</t>
  </si>
  <si>
    <t>Fotofiniša un numuru īre</t>
  </si>
  <si>
    <t>Karšu izstrāde</t>
  </si>
  <si>
    <t>Rāciju noma</t>
  </si>
  <si>
    <t>Trases īre</t>
  </si>
  <si>
    <t>Balvas kausi medaļas</t>
  </si>
  <si>
    <t xml:space="preserve">Ekipējums </t>
  </si>
  <si>
    <t xml:space="preserve">Balvu naudas </t>
  </si>
  <si>
    <t xml:space="preserve">Čempionu krekli </t>
  </si>
  <si>
    <t>Tehniskie materiāli</t>
  </si>
  <si>
    <t xml:space="preserve">Poligrāfijas materiāli  </t>
  </si>
  <si>
    <t xml:space="preserve">Ranga vešana </t>
  </si>
  <si>
    <t>Pasākuma vadītājs</t>
  </si>
  <si>
    <t>Dzīvošanas izdevumi</t>
  </si>
  <si>
    <t>Ēdināšana</t>
  </si>
  <si>
    <t>Transporta īre</t>
  </si>
  <si>
    <t>Saktuves īre</t>
  </si>
  <si>
    <t>Nožogojuma un Starta arkas īre</t>
  </si>
  <si>
    <t>Izglītības pasākumi</t>
  </si>
  <si>
    <t>Inventāra noma</t>
  </si>
  <si>
    <t>Apskaņošanas pakalpojumi</t>
  </si>
  <si>
    <t>Fotogrāfs</t>
  </si>
  <si>
    <t xml:space="preserve">Video </t>
  </si>
  <si>
    <t>Izdevumi kopā:</t>
  </si>
  <si>
    <t>Ieņēmumi</t>
  </si>
  <si>
    <t>Dalības maksa</t>
  </si>
  <si>
    <t>Dotācija Izglītības un zinātnes ministrija</t>
  </si>
  <si>
    <t xml:space="preserve">Dotācija LSFP līguma 22/57 pamatfinansējums </t>
  </si>
  <si>
    <t>Finansējums Ogres novada pašvaldība</t>
  </si>
  <si>
    <t xml:space="preserve">Finansējums Siguldas novada pašvaldība </t>
  </si>
  <si>
    <t>Finansējums Smiltenes novada pašvaldība</t>
  </si>
  <si>
    <t xml:space="preserve">Finansējums Gulbenes novada pašvaldības </t>
  </si>
  <si>
    <t>Latvijas Paralimpiskās komitejas finansējums</t>
  </si>
  <si>
    <t>Lietuvas Riteņbraukšanas federācijas finansējums</t>
  </si>
  <si>
    <t>Reklāmas līgums MTB titulsponsoris</t>
  </si>
  <si>
    <t xml:space="preserve">Reklāmas līgums SIA RD Sports </t>
  </si>
  <si>
    <t>Reklāmas līgums SIA Vudlande</t>
  </si>
  <si>
    <t>Reklāmas līgums SIA ZZK</t>
  </si>
  <si>
    <t>Rīgas domes finansējums</t>
  </si>
  <si>
    <t>SIA Avoti ziedojums</t>
  </si>
  <si>
    <t>SIA DTG reklāmas līgums</t>
  </si>
  <si>
    <t xml:space="preserve">SIA LAM Ziedojums </t>
  </si>
  <si>
    <t xml:space="preserve">SIA LKL Nami </t>
  </si>
  <si>
    <t>Ziedojums SIA Ase</t>
  </si>
  <si>
    <t xml:space="preserve">Ziedojums SIA Saukas kūdra </t>
  </si>
  <si>
    <t>Ziedojums SIA Vēvers</t>
  </si>
  <si>
    <t>Ieņēmumi kopā:</t>
  </si>
  <si>
    <t xml:space="preserve">2023. gads </t>
  </si>
  <si>
    <t xml:space="preserve">ŠOSEJAS/ MTB IZLAŠU SADAĻA - IZDEVUMI </t>
  </si>
  <si>
    <t>29. aprīlis - 4. maijs</t>
  </si>
  <si>
    <t xml:space="preserve">Grudziadz velobrauciens </t>
  </si>
  <si>
    <t>6+2</t>
  </si>
  <si>
    <t xml:space="preserve">Polija </t>
  </si>
  <si>
    <t>25. - 29. maijs</t>
  </si>
  <si>
    <t>Pasaules Nāciju kauss U23 - Orlen Cup</t>
  </si>
  <si>
    <t>Izlases kandiātu VFS testi</t>
  </si>
  <si>
    <t>Šosejas un MTB izlašu treneru seminārs</t>
  </si>
  <si>
    <t>ŠOSEJAS/ MTB IZLAŠU SADAĻA - IEŅĒMUMI</t>
  </si>
  <si>
    <t>Nr.</t>
  </si>
  <si>
    <t xml:space="preserve">Finansētājs </t>
  </si>
  <si>
    <t>Summa (EUR)</t>
  </si>
  <si>
    <t xml:space="preserve">Dotācija Izglītības un zinātnes ministrija </t>
  </si>
  <si>
    <t xml:space="preserve">Ziedojums no SIA EKLV </t>
  </si>
  <si>
    <t>Ziedojums no SIA Elsana</t>
  </si>
  <si>
    <t xml:space="preserve">Iemaksas Jaunatnes fondā </t>
  </si>
  <si>
    <t xml:space="preserve">Kopā </t>
  </si>
  <si>
    <t xml:space="preserve">Starpība </t>
  </si>
  <si>
    <t>20. marts. -8. aprīlis</t>
  </si>
  <si>
    <t>MTN un sacensības Turcijā</t>
  </si>
  <si>
    <t>Turcija</t>
  </si>
  <si>
    <t>30. aprīlis - 5. maijs</t>
  </si>
  <si>
    <t>Grudziadz velobrauciens  junioriem</t>
  </si>
  <si>
    <t>2+2</t>
  </si>
  <si>
    <t>Rumānija</t>
  </si>
  <si>
    <t>29. maijs - 7. jūnijs</t>
  </si>
  <si>
    <t>Tour of Lithuania UCI 2.2. ME</t>
  </si>
  <si>
    <t>30. maijs - 2. jūnijs</t>
  </si>
  <si>
    <t>Pasaules Nāciju kauss junioriem - Germany GP</t>
  </si>
  <si>
    <t>Vācija</t>
  </si>
  <si>
    <t>25. jūnijs - 6. augusts</t>
  </si>
  <si>
    <t>Luksemburgas U17 tūre</t>
  </si>
  <si>
    <t>Luksemburga</t>
  </si>
  <si>
    <t>11. - 14. jūlijs</t>
  </si>
  <si>
    <t>Pasaules Nāciju kauss junioriem - Tour of Slovakia</t>
  </si>
  <si>
    <t>Slovākija</t>
  </si>
  <si>
    <t xml:space="preserve">13. - 28. </t>
  </si>
  <si>
    <t>MTN un Molozowska GP velo brauciens U23</t>
  </si>
  <si>
    <t>19. - 21. jūlijs</t>
  </si>
  <si>
    <t>Pasaules Nāciju kauss junioriem - Tour of Austria</t>
  </si>
  <si>
    <t>ASVÖ - Radjugendtour U17 velobrauciens</t>
  </si>
  <si>
    <t>Baltic Chain Tour UCI 2.2.</t>
  </si>
  <si>
    <t>3. - 12. augusts</t>
  </si>
  <si>
    <t>Eiropas čempionāts MTB XCO krosā jauniešiem</t>
  </si>
  <si>
    <t>Zviedrija</t>
  </si>
  <si>
    <t xml:space="preserve">5. - 8. septembrus </t>
  </si>
  <si>
    <t>Eiropas Čempionāts šosejas riteņbraukšanā</t>
  </si>
  <si>
    <t>Flandrija, Beļģija</t>
  </si>
  <si>
    <t>Pasaules Čempionāts  šosejas riteņbraukšanā</t>
  </si>
  <si>
    <t>10+5</t>
  </si>
  <si>
    <t xml:space="preserve">Inventārs/ apģērbs </t>
  </si>
  <si>
    <t>1.</t>
  </si>
  <si>
    <t>2.</t>
  </si>
  <si>
    <t xml:space="preserve">Reklāmas līgums SIA Heposor finansējums </t>
  </si>
  <si>
    <t>3.</t>
  </si>
  <si>
    <t>5% ieņēmumi biedrības darbības nodrošināšanai</t>
  </si>
  <si>
    <t xml:space="preserve">2024. gads  PLĀNS </t>
  </si>
  <si>
    <t>Organizācijas vadītājs _______________________________</t>
  </si>
  <si>
    <t>LRF biroja izdevumi</t>
  </si>
  <si>
    <t>1.marts - 31.decembris</t>
  </si>
  <si>
    <t>5.</t>
  </si>
  <si>
    <t>4.</t>
  </si>
  <si>
    <t>BMX menedžera DA</t>
  </si>
  <si>
    <t>Ģenerālsekretāra DA</t>
  </si>
  <si>
    <t>Admin</t>
  </si>
  <si>
    <t>Silva</t>
  </si>
  <si>
    <t>28.septembris</t>
  </si>
  <si>
    <t>12.</t>
  </si>
  <si>
    <t>Madona</t>
  </si>
  <si>
    <t>14.septembris</t>
  </si>
  <si>
    <t>11.</t>
  </si>
  <si>
    <t>Avoti</t>
  </si>
  <si>
    <t>17.augusts</t>
  </si>
  <si>
    <t>3.augusts</t>
  </si>
  <si>
    <t>9.</t>
  </si>
  <si>
    <t>Vecpiebalga</t>
  </si>
  <si>
    <t>20.jūlijs</t>
  </si>
  <si>
    <t>8.</t>
  </si>
  <si>
    <t>Ādāzi</t>
  </si>
  <si>
    <t>6.jūlijs</t>
  </si>
  <si>
    <t>7.</t>
  </si>
  <si>
    <t>Ventspils</t>
  </si>
  <si>
    <t>29.jūnijs</t>
  </si>
  <si>
    <t>6.</t>
  </si>
  <si>
    <t>Jelgava</t>
  </si>
  <si>
    <t>8.jūnijs</t>
  </si>
  <si>
    <t>Tukums</t>
  </si>
  <si>
    <t>25.maijs</t>
  </si>
  <si>
    <t>5.maijs</t>
  </si>
  <si>
    <t>BMX tiesneša UCI kursi</t>
  </si>
  <si>
    <t>Augusts</t>
  </si>
  <si>
    <t>BMX sacensību programma</t>
  </si>
  <si>
    <t>1.maijs - 31.decembris</t>
  </si>
  <si>
    <t>BMX sac.</t>
  </si>
  <si>
    <t>Abu Dhabi, AAE</t>
  </si>
  <si>
    <t>17-21.decembris</t>
  </si>
  <si>
    <t>Ravels, Beļģija</t>
  </si>
  <si>
    <t>BMX Eiropas kauss, 11-12.posms</t>
  </si>
  <si>
    <t>8-9.septembris</t>
  </si>
  <si>
    <t>BMX treneru kursi</t>
  </si>
  <si>
    <t>Parīze, Francija</t>
  </si>
  <si>
    <t>Olimpiskās spēles</t>
  </si>
  <si>
    <t>1-2.augusts</t>
  </si>
  <si>
    <t>BMX Eiropas kauss, 9-10.posms</t>
  </si>
  <si>
    <t>13-14.jūlijs</t>
  </si>
  <si>
    <t>Budapešta, Ungārija</t>
  </si>
  <si>
    <t>BMX Freestyle OQS</t>
  </si>
  <si>
    <t>20-23.jūnijs</t>
  </si>
  <si>
    <t>Tiel, Nīderlande</t>
  </si>
  <si>
    <t>BMX Eiropas kauss 7-8.posms</t>
  </si>
  <si>
    <t>15-16.jūnijs</t>
  </si>
  <si>
    <t>Verona, Itālija</t>
  </si>
  <si>
    <t>29.maijs - 2.jūnijs</t>
  </si>
  <si>
    <t>Shanghai, Ķīna</t>
  </si>
  <si>
    <t>16-19.maijs</t>
  </si>
  <si>
    <t>RockHill, ASV</t>
  </si>
  <si>
    <t>12-18.maijs</t>
  </si>
  <si>
    <t>Montpelliera, Francija</t>
  </si>
  <si>
    <t>8-12.maijs</t>
  </si>
  <si>
    <t>Tulsa, ASV</t>
  </si>
  <si>
    <t>27-28.aprīlis</t>
  </si>
  <si>
    <t>BMX Eiropas kauss 5-6.posms</t>
  </si>
  <si>
    <t>13-14.aprīlis</t>
  </si>
  <si>
    <t>BMX OS Test event</t>
  </si>
  <si>
    <t>4-7.aprīlis</t>
  </si>
  <si>
    <t>Zolder, Francija</t>
  </si>
  <si>
    <t>BMX Eiropas kauss 3-4.posms</t>
  </si>
  <si>
    <t>30-31.marts</t>
  </si>
  <si>
    <t>MTN un C1 sacensība</t>
  </si>
  <si>
    <t>12-19.marts</t>
  </si>
  <si>
    <t>Sarrians, Austrālija</t>
  </si>
  <si>
    <t>MTN, Eiropas kauss 1-2.posms</t>
  </si>
  <si>
    <t>1-11.marts</t>
  </si>
  <si>
    <t>Brisbena, Austrālija</t>
  </si>
  <si>
    <t>BMX Pasaules kauss 3-4.posms</t>
  </si>
  <si>
    <t>24-25.februāris</t>
  </si>
  <si>
    <t>Enoshima, Japāna</t>
  </si>
  <si>
    <t>22-25.februāris</t>
  </si>
  <si>
    <t>Rotorua, Jaunzēlande</t>
  </si>
  <si>
    <t>10-11.februāris</t>
  </si>
  <si>
    <t>BMX izlase</t>
  </si>
  <si>
    <t>IZM finansējums «Baltic Chain Tour 2024»</t>
  </si>
  <si>
    <t xml:space="preserve">4.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</si>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</sst>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"/>
    <numFmt numFmtId="165" formatCode="0.0%"/>
  </numFmts>
  <fonts count="7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theme="1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</font>
    <font>
      <b/>
      <sz val="11"/>
      <name val="Arial"/>
      <family val="2"/>
      <charset val="186"/>
    </font>
    <font>
      <b/>
      <sz val="12"/>
      <color indexed="48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indexed="48"/>
      <name val="Arial"/>
      <family val="2"/>
      <charset val="186"/>
    </font>
    <font>
      <b/>
      <sz val="11"/>
      <color theme="1"/>
      <name val="Arial"/>
      <family val="2"/>
    </font>
    <font>
      <sz val="11"/>
      <color indexed="48"/>
      <name val="Arial"/>
      <family val="2"/>
      <charset val="186"/>
    </font>
    <font>
      <sz val="11"/>
      <name val="Arial"/>
      <family val="2"/>
    </font>
    <font>
      <b/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i/>
      <sz val="10"/>
      <name val="Arial"/>
      <family val="2"/>
    </font>
    <font>
      <i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u/>
      <sz val="12"/>
      <color theme="10"/>
      <name val="Calibri"/>
      <family val="2"/>
      <scheme val="minor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  <charset val="186"/>
    </font>
    <font>
      <u/>
      <sz val="9"/>
      <color theme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5" fillId="0" borderId="0" applyNumberFormat="0" applyFill="0" applyBorder="0" applyAlignment="0" applyProtection="0"/>
    <xf numFmtId="0" fontId="2" fillId="0" borderId="0"/>
    <xf numFmtId="0" fontId="1" fillId="0" borderId="0"/>
  </cellStyleXfs>
  <cellXfs count="586">
    <xf numFmtId="0" fontId="0" fillId="0" borderId="0" xfId="0"/>
    <xf numFmtId="0" fontId="3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5" fillId="0" borderId="0" xfId="1" applyFont="1"/>
    <xf numFmtId="3" fontId="5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3" fontId="7" fillId="0" borderId="3" xfId="1" applyNumberFormat="1" applyFont="1" applyBorder="1" applyAlignment="1">
      <alignment horizontal="center" vertical="center" wrapText="1"/>
    </xf>
    <xf numFmtId="3" fontId="7" fillId="0" borderId="4" xfId="1" applyNumberFormat="1" applyFont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3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right"/>
    </xf>
    <xf numFmtId="3" fontId="7" fillId="3" borderId="4" xfId="1" applyNumberFormat="1" applyFont="1" applyFill="1" applyBorder="1" applyAlignment="1">
      <alignment horizontal="center" vertical="center" wrapText="1"/>
    </xf>
    <xf numFmtId="3" fontId="4" fillId="4" borderId="9" xfId="1" applyNumberFormat="1" applyFont="1" applyFill="1" applyBorder="1" applyAlignment="1">
      <alignment horizontal="center" vertical="center" wrapText="1"/>
    </xf>
    <xf numFmtId="3" fontId="4" fillId="4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3" fontId="9" fillId="0" borderId="12" xfId="1" applyNumberFormat="1" applyFont="1" applyBorder="1" applyAlignment="1">
      <alignment horizontal="center" vertical="center"/>
    </xf>
    <xf numFmtId="0" fontId="6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right"/>
    </xf>
    <xf numFmtId="3" fontId="9" fillId="3" borderId="16" xfId="1" applyNumberFormat="1" applyFont="1" applyFill="1" applyBorder="1" applyAlignment="1">
      <alignment horizontal="center"/>
    </xf>
    <xf numFmtId="3" fontId="9" fillId="3" borderId="17" xfId="1" applyNumberFormat="1" applyFont="1" applyFill="1" applyBorder="1" applyAlignment="1">
      <alignment horizontal="center"/>
    </xf>
    <xf numFmtId="3" fontId="4" fillId="4" borderId="14" xfId="1" applyNumberFormat="1" applyFont="1" applyFill="1" applyBorder="1" applyAlignment="1">
      <alignment horizontal="center"/>
    </xf>
    <xf numFmtId="3" fontId="4" fillId="4" borderId="15" xfId="1" applyNumberFormat="1" applyFont="1" applyFill="1" applyBorder="1" applyAlignment="1">
      <alignment horizontal="center"/>
    </xf>
    <xf numFmtId="0" fontId="10" fillId="0" borderId="0" xfId="1" applyFont="1"/>
    <xf numFmtId="0" fontId="11" fillId="0" borderId="18" xfId="1" applyFont="1" applyBorder="1" applyAlignment="1">
      <alignment horizontal="center"/>
    </xf>
    <xf numFmtId="0" fontId="12" fillId="0" borderId="19" xfId="1" applyFont="1" applyBorder="1"/>
    <xf numFmtId="3" fontId="12" fillId="0" borderId="20" xfId="1" applyNumberFormat="1" applyFont="1" applyBorder="1" applyAlignment="1">
      <alignment horizontal="center"/>
    </xf>
    <xf numFmtId="3" fontId="12" fillId="0" borderId="21" xfId="1" applyNumberFormat="1" applyFont="1" applyBorder="1" applyAlignment="1">
      <alignment horizontal="center"/>
    </xf>
    <xf numFmtId="3" fontId="4" fillId="2" borderId="22" xfId="1" applyNumberFormat="1" applyFont="1" applyFill="1" applyBorder="1" applyAlignment="1">
      <alignment horizontal="center"/>
    </xf>
    <xf numFmtId="3" fontId="4" fillId="2" borderId="23" xfId="1" applyNumberFormat="1" applyFont="1" applyFill="1" applyBorder="1" applyAlignment="1">
      <alignment horizontal="center"/>
    </xf>
    <xf numFmtId="0" fontId="12" fillId="0" borderId="0" xfId="1" applyFont="1"/>
    <xf numFmtId="0" fontId="11" fillId="0" borderId="24" xfId="1" applyFont="1" applyBorder="1" applyAlignment="1">
      <alignment horizontal="center"/>
    </xf>
    <xf numFmtId="3" fontId="4" fillId="2" borderId="25" xfId="1" applyNumberFormat="1" applyFont="1" applyFill="1" applyBorder="1" applyAlignment="1">
      <alignment horizontal="center"/>
    </xf>
    <xf numFmtId="3" fontId="12" fillId="0" borderId="27" xfId="1" applyNumberFormat="1" applyFont="1" applyBorder="1" applyAlignment="1">
      <alignment horizontal="center"/>
    </xf>
    <xf numFmtId="3" fontId="4" fillId="2" borderId="9" xfId="1" applyNumberFormat="1" applyFont="1" applyFill="1" applyBorder="1" applyAlignment="1">
      <alignment horizontal="center"/>
    </xf>
    <xf numFmtId="3" fontId="4" fillId="2" borderId="10" xfId="1" applyNumberFormat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0" fontId="14" fillId="0" borderId="0" xfId="1" applyFont="1"/>
    <xf numFmtId="0" fontId="11" fillId="0" borderId="28" xfId="1" applyFont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9" fillId="3" borderId="29" xfId="1" applyFont="1" applyFill="1" applyBorder="1" applyAlignment="1">
      <alignment horizontal="right"/>
    </xf>
    <xf numFmtId="3" fontId="9" fillId="3" borderId="13" xfId="1" applyNumberFormat="1" applyFont="1" applyFill="1" applyBorder="1" applyAlignment="1">
      <alignment horizontal="center"/>
    </xf>
    <xf numFmtId="3" fontId="4" fillId="4" borderId="30" xfId="1" applyNumberFormat="1" applyFont="1" applyFill="1" applyBorder="1" applyAlignment="1">
      <alignment horizontal="center"/>
    </xf>
    <xf numFmtId="0" fontId="16" fillId="0" borderId="0" xfId="1" applyFont="1"/>
    <xf numFmtId="0" fontId="11" fillId="0" borderId="31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2" fillId="0" borderId="33" xfId="1" applyFont="1" applyBorder="1"/>
    <xf numFmtId="3" fontId="12" fillId="0" borderId="34" xfId="1" applyNumberFormat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2" fillId="0" borderId="36" xfId="1" applyFont="1" applyBorder="1"/>
    <xf numFmtId="0" fontId="12" fillId="0" borderId="38" xfId="1" applyFont="1" applyBorder="1"/>
    <xf numFmtId="3" fontId="17" fillId="0" borderId="20" xfId="1" applyNumberFormat="1" applyFont="1" applyBorder="1" applyAlignment="1">
      <alignment horizontal="center"/>
    </xf>
    <xf numFmtId="0" fontId="12" fillId="0" borderId="39" xfId="1" applyFont="1" applyBorder="1"/>
    <xf numFmtId="3" fontId="17" fillId="0" borderId="34" xfId="1" applyNumberFormat="1" applyFont="1" applyBorder="1" applyAlignment="1">
      <alignment horizontal="center"/>
    </xf>
    <xf numFmtId="0" fontId="12" fillId="0" borderId="40" xfId="1" applyFont="1" applyBorder="1"/>
    <xf numFmtId="3" fontId="17" fillId="0" borderId="37" xfId="1" applyNumberFormat="1" applyFont="1" applyBorder="1" applyAlignment="1">
      <alignment horizontal="center"/>
    </xf>
    <xf numFmtId="3" fontId="17" fillId="2" borderId="34" xfId="1" applyNumberFormat="1" applyFont="1" applyFill="1" applyBorder="1" applyAlignment="1">
      <alignment horizontal="center"/>
    </xf>
    <xf numFmtId="0" fontId="11" fillId="0" borderId="41" xfId="1" applyFont="1" applyBorder="1" applyAlignment="1">
      <alignment horizontal="center"/>
    </xf>
    <xf numFmtId="0" fontId="12" fillId="0" borderId="43" xfId="1" applyFont="1" applyBorder="1"/>
    <xf numFmtId="3" fontId="12" fillId="0" borderId="44" xfId="1" applyNumberFormat="1" applyFont="1" applyBorder="1" applyAlignment="1">
      <alignment horizontal="center"/>
    </xf>
    <xf numFmtId="3" fontId="17" fillId="0" borderId="44" xfId="1" applyNumberFormat="1" applyFont="1" applyBorder="1" applyAlignment="1">
      <alignment horizontal="center"/>
    </xf>
    <xf numFmtId="3" fontId="4" fillId="2" borderId="9" xfId="1" applyNumberFormat="1" applyFont="1" applyFill="1" applyBorder="1" applyAlignment="1">
      <alignment horizontal="center" vertical="top" wrapText="1"/>
    </xf>
    <xf numFmtId="3" fontId="4" fillId="2" borderId="10" xfId="1" applyNumberFormat="1" applyFont="1" applyFill="1" applyBorder="1" applyAlignment="1">
      <alignment horizontal="center" vertical="top" wrapText="1"/>
    </xf>
    <xf numFmtId="0" fontId="15" fillId="0" borderId="11" xfId="1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8" fillId="3" borderId="11" xfId="1" applyFont="1" applyFill="1" applyBorder="1" applyAlignment="1">
      <alignment horizontal="center"/>
    </xf>
    <xf numFmtId="0" fontId="19" fillId="3" borderId="12" xfId="1" applyFont="1" applyFill="1" applyBorder="1"/>
    <xf numFmtId="3" fontId="19" fillId="3" borderId="16" xfId="1" applyNumberFormat="1" applyFont="1" applyFill="1" applyBorder="1" applyAlignment="1">
      <alignment horizontal="center"/>
    </xf>
    <xf numFmtId="3" fontId="19" fillId="3" borderId="17" xfId="1" applyNumberFormat="1" applyFont="1" applyFill="1" applyBorder="1" applyAlignment="1">
      <alignment horizontal="center"/>
    </xf>
    <xf numFmtId="3" fontId="20" fillId="4" borderId="14" xfId="1" applyNumberFormat="1" applyFont="1" applyFill="1" applyBorder="1" applyAlignment="1">
      <alignment horizontal="center"/>
    </xf>
    <xf numFmtId="3" fontId="20" fillId="4" borderId="15" xfId="1" applyNumberFormat="1" applyFont="1" applyFill="1" applyBorder="1" applyAlignment="1">
      <alignment horizontal="center"/>
    </xf>
    <xf numFmtId="0" fontId="21" fillId="0" borderId="0" xfId="1" applyFont="1"/>
    <xf numFmtId="0" fontId="12" fillId="5" borderId="39" xfId="1" applyFont="1" applyFill="1" applyBorder="1"/>
    <xf numFmtId="3" fontId="12" fillId="5" borderId="34" xfId="1" applyNumberFormat="1" applyFont="1" applyFill="1" applyBorder="1" applyAlignment="1">
      <alignment horizontal="center"/>
    </xf>
    <xf numFmtId="3" fontId="4" fillId="6" borderId="25" xfId="1" applyNumberFormat="1" applyFont="1" applyFill="1" applyBorder="1" applyAlignment="1">
      <alignment horizontal="center"/>
    </xf>
    <xf numFmtId="0" fontId="12" fillId="5" borderId="46" xfId="1" applyFont="1" applyFill="1" applyBorder="1"/>
    <xf numFmtId="3" fontId="12" fillId="5" borderId="42" xfId="1" applyNumberFormat="1" applyFont="1" applyFill="1" applyBorder="1" applyAlignment="1">
      <alignment horizontal="center"/>
    </xf>
    <xf numFmtId="0" fontId="12" fillId="5" borderId="0" xfId="1" applyFont="1" applyFill="1"/>
    <xf numFmtId="3" fontId="12" fillId="5" borderId="26" xfId="1" applyNumberFormat="1" applyFont="1" applyFill="1" applyBorder="1" applyAlignment="1">
      <alignment horizontal="center"/>
    </xf>
    <xf numFmtId="3" fontId="4" fillId="6" borderId="9" xfId="1" applyNumberFormat="1" applyFont="1" applyFill="1" applyBorder="1" applyAlignment="1">
      <alignment horizontal="center"/>
    </xf>
    <xf numFmtId="3" fontId="4" fillId="6" borderId="10" xfId="1" applyNumberFormat="1" applyFont="1" applyFill="1" applyBorder="1" applyAlignment="1">
      <alignment horizontal="center"/>
    </xf>
    <xf numFmtId="0" fontId="19" fillId="3" borderId="45" xfId="1" applyFont="1" applyFill="1" applyBorder="1"/>
    <xf numFmtId="3" fontId="19" fillId="3" borderId="13" xfId="1" applyNumberFormat="1" applyFont="1" applyFill="1" applyBorder="1" applyAlignment="1">
      <alignment horizontal="center"/>
    </xf>
    <xf numFmtId="3" fontId="19" fillId="3" borderId="12" xfId="1" applyNumberFormat="1" applyFont="1" applyFill="1" applyBorder="1" applyAlignment="1">
      <alignment horizontal="center"/>
    </xf>
    <xf numFmtId="0" fontId="9" fillId="0" borderId="0" xfId="1" applyFont="1"/>
    <xf numFmtId="3" fontId="4" fillId="2" borderId="0" xfId="1" applyNumberFormat="1" applyFont="1" applyFill="1" applyAlignment="1">
      <alignment horizontal="center"/>
    </xf>
    <xf numFmtId="3" fontId="12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3" fontId="12" fillId="0" borderId="42" xfId="1" applyNumberFormat="1" applyFont="1" applyBorder="1" applyAlignment="1">
      <alignment horizontal="center"/>
    </xf>
    <xf numFmtId="0" fontId="11" fillId="0" borderId="54" xfId="1" applyFont="1" applyBorder="1" applyAlignment="1">
      <alignment horizontal="center"/>
    </xf>
    <xf numFmtId="0" fontId="9" fillId="0" borderId="56" xfId="1" applyFont="1" applyBorder="1" applyAlignment="1">
      <alignment horizontal="right"/>
    </xf>
    <xf numFmtId="3" fontId="9" fillId="0" borderId="57" xfId="1" applyNumberFormat="1" applyFont="1" applyBorder="1" applyAlignment="1">
      <alignment horizontal="center"/>
    </xf>
    <xf numFmtId="3" fontId="4" fillId="2" borderId="58" xfId="1" applyNumberFormat="1" applyFont="1" applyFill="1" applyBorder="1" applyAlignment="1">
      <alignment horizontal="center"/>
    </xf>
    <xf numFmtId="3" fontId="4" fillId="2" borderId="59" xfId="1" applyNumberFormat="1" applyFont="1" applyFill="1" applyBorder="1" applyAlignment="1">
      <alignment horizontal="center"/>
    </xf>
    <xf numFmtId="0" fontId="13" fillId="3" borderId="60" xfId="1" applyFont="1" applyFill="1" applyBorder="1" applyAlignment="1">
      <alignment horizontal="center"/>
    </xf>
    <xf numFmtId="0" fontId="9" fillId="3" borderId="14" xfId="1" applyFont="1" applyFill="1" applyBorder="1"/>
    <xf numFmtId="3" fontId="9" fillId="3" borderId="14" xfId="1" applyNumberFormat="1" applyFont="1" applyFill="1" applyBorder="1" applyAlignment="1">
      <alignment horizontal="center"/>
    </xf>
    <xf numFmtId="3" fontId="9" fillId="3" borderId="15" xfId="1" applyNumberFormat="1" applyFont="1" applyFill="1" applyBorder="1" applyAlignment="1">
      <alignment horizontal="center"/>
    </xf>
    <xf numFmtId="3" fontId="23" fillId="2" borderId="69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3" fillId="0" borderId="61" xfId="0" applyFont="1" applyBorder="1" applyAlignment="1">
      <alignment horizontal="center"/>
    </xf>
    <xf numFmtId="3" fontId="23" fillId="2" borderId="25" xfId="1" applyNumberFormat="1" applyFont="1" applyFill="1" applyBorder="1" applyAlignment="1">
      <alignment horizontal="center"/>
    </xf>
    <xf numFmtId="0" fontId="23" fillId="0" borderId="64" xfId="0" applyFont="1" applyBorder="1" applyAlignment="1">
      <alignment horizontal="center"/>
    </xf>
    <xf numFmtId="1" fontId="23" fillId="0" borderId="72" xfId="0" applyNumberFormat="1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65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 wrapText="1"/>
    </xf>
    <xf numFmtId="3" fontId="4" fillId="2" borderId="24" xfId="1" applyNumberFormat="1" applyFont="1" applyFill="1" applyBorder="1" applyAlignment="1">
      <alignment horizontal="center"/>
    </xf>
    <xf numFmtId="0" fontId="25" fillId="0" borderId="0" xfId="0" applyFont="1"/>
    <xf numFmtId="0" fontId="15" fillId="0" borderId="67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25" fillId="0" borderId="66" xfId="0" applyFont="1" applyBorder="1"/>
    <xf numFmtId="164" fontId="25" fillId="0" borderId="65" xfId="0" applyNumberFormat="1" applyFont="1" applyBorder="1"/>
    <xf numFmtId="0" fontId="25" fillId="0" borderId="23" xfId="0" applyFont="1" applyBorder="1"/>
    <xf numFmtId="0" fontId="25" fillId="0" borderId="24" xfId="0" applyFont="1" applyBorder="1"/>
    <xf numFmtId="164" fontId="25" fillId="0" borderId="61" xfId="0" applyNumberFormat="1" applyFont="1" applyBorder="1"/>
    <xf numFmtId="9" fontId="25" fillId="0" borderId="25" xfId="0" applyNumberFormat="1" applyFont="1" applyBorder="1"/>
    <xf numFmtId="164" fontId="25" fillId="0" borderId="25" xfId="0" applyNumberFormat="1" applyFont="1" applyBorder="1"/>
    <xf numFmtId="0" fontId="25" fillId="0" borderId="28" xfId="0" applyFont="1" applyBorder="1"/>
    <xf numFmtId="0" fontId="25" fillId="0" borderId="62" xfId="0" applyFont="1" applyBorder="1"/>
    <xf numFmtId="0" fontId="25" fillId="0" borderId="63" xfId="0" applyFont="1" applyBorder="1"/>
    <xf numFmtId="0" fontId="25" fillId="0" borderId="25" xfId="0" applyFont="1" applyBorder="1"/>
    <xf numFmtId="164" fontId="25" fillId="0" borderId="62" xfId="0" applyNumberFormat="1" applyFont="1" applyBorder="1"/>
    <xf numFmtId="164" fontId="25" fillId="0" borderId="0" xfId="0" applyNumberFormat="1" applyFont="1"/>
    <xf numFmtId="0" fontId="25" fillId="0" borderId="68" xfId="0" applyFont="1" applyBorder="1"/>
    <xf numFmtId="164" fontId="25" fillId="0" borderId="64" xfId="0" applyNumberFormat="1" applyFont="1" applyBorder="1"/>
    <xf numFmtId="9" fontId="25" fillId="0" borderId="53" xfId="0" applyNumberFormat="1" applyFont="1" applyBorder="1"/>
    <xf numFmtId="3" fontId="22" fillId="3" borderId="3" xfId="1" applyNumberFormat="1" applyFont="1" applyFill="1" applyBorder="1" applyAlignment="1">
      <alignment horizontal="center" vertical="center" wrapText="1"/>
    </xf>
    <xf numFmtId="3" fontId="22" fillId="3" borderId="13" xfId="1" applyNumberFormat="1" applyFont="1" applyFill="1" applyBorder="1" applyAlignment="1">
      <alignment horizontal="center"/>
    </xf>
    <xf numFmtId="10" fontId="0" fillId="0" borderId="0" xfId="0" applyNumberFormat="1"/>
    <xf numFmtId="0" fontId="12" fillId="0" borderId="75" xfId="1" applyFont="1" applyBorder="1"/>
    <xf numFmtId="3" fontId="12" fillId="0" borderId="76" xfId="1" applyNumberFormat="1" applyFont="1" applyBorder="1" applyAlignment="1">
      <alignment horizontal="center"/>
    </xf>
    <xf numFmtId="3" fontId="4" fillId="2" borderId="77" xfId="1" applyNumberFormat="1" applyFont="1" applyFill="1" applyBorder="1" applyAlignment="1">
      <alignment horizontal="center"/>
    </xf>
    <xf numFmtId="0" fontId="12" fillId="0" borderId="78" xfId="1" applyFont="1" applyBorder="1"/>
    <xf numFmtId="3" fontId="12" fillId="0" borderId="79" xfId="1" applyNumberFormat="1" applyFont="1" applyBorder="1" applyAlignment="1">
      <alignment horizontal="center"/>
    </xf>
    <xf numFmtId="3" fontId="12" fillId="0" borderId="80" xfId="1" applyNumberFormat="1" applyFont="1" applyBorder="1" applyAlignment="1">
      <alignment horizontal="center"/>
    </xf>
    <xf numFmtId="0" fontId="11" fillId="0" borderId="67" xfId="1" applyFont="1" applyBorder="1" applyAlignment="1">
      <alignment horizontal="center"/>
    </xf>
    <xf numFmtId="0" fontId="12" fillId="0" borderId="73" xfId="1" applyFont="1" applyBorder="1"/>
    <xf numFmtId="3" fontId="4" fillId="2" borderId="5" xfId="1" applyNumberFormat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25" fillId="0" borderId="35" xfId="1" applyFont="1" applyBorder="1" applyAlignment="1">
      <alignment horizontal="center" vertical="top" wrapText="1"/>
    </xf>
    <xf numFmtId="0" fontId="17" fillId="0" borderId="40" xfId="1" applyFont="1" applyBorder="1" applyAlignment="1">
      <alignment vertical="top" wrapText="1"/>
    </xf>
    <xf numFmtId="3" fontId="17" fillId="0" borderId="37" xfId="1" applyNumberFormat="1" applyFont="1" applyBorder="1" applyAlignment="1">
      <alignment horizontal="center" vertical="top" wrapText="1"/>
    </xf>
    <xf numFmtId="0" fontId="17" fillId="0" borderId="0" xfId="1" applyFont="1" applyAlignment="1">
      <alignment vertical="top" wrapText="1"/>
    </xf>
    <xf numFmtId="3" fontId="4" fillId="0" borderId="22" xfId="1" applyNumberFormat="1" applyFont="1" applyBorder="1" applyAlignment="1">
      <alignment horizontal="center"/>
    </xf>
    <xf numFmtId="3" fontId="4" fillId="0" borderId="77" xfId="1" applyNumberFormat="1" applyFont="1" applyBorder="1" applyAlignment="1">
      <alignment horizontal="center"/>
    </xf>
    <xf numFmtId="3" fontId="20" fillId="0" borderId="14" xfId="1" applyNumberFormat="1" applyFont="1" applyBorder="1" applyAlignment="1">
      <alignment horizontal="center"/>
    </xf>
    <xf numFmtId="3" fontId="12" fillId="0" borderId="81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/>
    </xf>
    <xf numFmtId="3" fontId="4" fillId="6" borderId="77" xfId="1" applyNumberFormat="1" applyFont="1" applyFill="1" applyBorder="1" applyAlignment="1">
      <alignment horizontal="center"/>
    </xf>
    <xf numFmtId="3" fontId="12" fillId="0" borderId="82" xfId="1" applyNumberFormat="1" applyFont="1" applyBorder="1" applyAlignment="1">
      <alignment horizontal="center"/>
    </xf>
    <xf numFmtId="3" fontId="23" fillId="2" borderId="77" xfId="1" applyNumberFormat="1" applyFont="1" applyFill="1" applyBorder="1" applyAlignment="1">
      <alignment horizontal="center"/>
    </xf>
    <xf numFmtId="3" fontId="23" fillId="2" borderId="83" xfId="1" applyNumberFormat="1" applyFont="1" applyFill="1" applyBorder="1" applyAlignment="1">
      <alignment horizontal="center"/>
    </xf>
    <xf numFmtId="3" fontId="12" fillId="0" borderId="38" xfId="1" applyNumberFormat="1" applyFont="1" applyBorder="1" applyAlignment="1">
      <alignment horizontal="center"/>
    </xf>
    <xf numFmtId="3" fontId="19" fillId="3" borderId="11" xfId="1" applyNumberFormat="1" applyFont="1" applyFill="1" applyBorder="1" applyAlignment="1">
      <alignment horizontal="center"/>
    </xf>
    <xf numFmtId="3" fontId="12" fillId="0" borderId="35" xfId="1" applyNumberFormat="1" applyFont="1" applyBorder="1" applyAlignment="1">
      <alignment horizontal="center"/>
    </xf>
    <xf numFmtId="3" fontId="22" fillId="3" borderId="4" xfId="1" applyNumberFormat="1" applyFont="1" applyFill="1" applyBorder="1" applyAlignment="1">
      <alignment horizontal="center" vertical="center" wrapText="1"/>
    </xf>
    <xf numFmtId="3" fontId="8" fillId="2" borderId="58" xfId="1" applyNumberFormat="1" applyFont="1" applyFill="1" applyBorder="1" applyAlignment="1">
      <alignment horizontal="center"/>
    </xf>
    <xf numFmtId="0" fontId="0" fillId="0" borderId="87" xfId="0" applyBorder="1"/>
    <xf numFmtId="0" fontId="0" fillId="0" borderId="87" xfId="0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0" fontId="2" fillId="0" borderId="0" xfId="0" applyFont="1"/>
    <xf numFmtId="0" fontId="12" fillId="0" borderId="89" xfId="1" applyFont="1" applyBorder="1"/>
    <xf numFmtId="3" fontId="4" fillId="2" borderId="90" xfId="1" applyNumberFormat="1" applyFont="1" applyFill="1" applyBorder="1" applyAlignment="1">
      <alignment horizontal="center"/>
    </xf>
    <xf numFmtId="3" fontId="4" fillId="2" borderId="91" xfId="1" applyNumberFormat="1" applyFont="1" applyFill="1" applyBorder="1" applyAlignment="1">
      <alignment horizontal="center"/>
    </xf>
    <xf numFmtId="3" fontId="28" fillId="0" borderId="92" xfId="1" applyNumberFormat="1" applyFont="1" applyBorder="1" applyAlignment="1">
      <alignment horizontal="center"/>
    </xf>
    <xf numFmtId="3" fontId="28" fillId="0" borderId="58" xfId="1" applyNumberFormat="1" applyFont="1" applyBorder="1" applyAlignment="1">
      <alignment horizontal="center"/>
    </xf>
    <xf numFmtId="3" fontId="28" fillId="0" borderId="56" xfId="1" applyNumberFormat="1" applyFont="1" applyBorder="1" applyAlignment="1">
      <alignment horizontal="center"/>
    </xf>
    <xf numFmtId="3" fontId="28" fillId="0" borderId="84" xfId="1" applyNumberFormat="1" applyFont="1" applyBorder="1" applyAlignment="1">
      <alignment horizontal="center"/>
    </xf>
    <xf numFmtId="3" fontId="19" fillId="0" borderId="60" xfId="1" applyNumberFormat="1" applyFont="1" applyBorder="1" applyAlignment="1">
      <alignment horizontal="center"/>
    </xf>
    <xf numFmtId="3" fontId="19" fillId="0" borderId="14" xfId="1" applyNumberFormat="1" applyFont="1" applyBorder="1" applyAlignment="1">
      <alignment horizontal="center"/>
    </xf>
    <xf numFmtId="3" fontId="19" fillId="0" borderId="15" xfId="1" applyNumberFormat="1" applyFont="1" applyBorder="1" applyAlignment="1">
      <alignment horizontal="center"/>
    </xf>
    <xf numFmtId="0" fontId="29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vertical="center"/>
    </xf>
    <xf numFmtId="3" fontId="26" fillId="0" borderId="13" xfId="1" applyNumberFormat="1" applyFont="1" applyBorder="1" applyAlignment="1">
      <alignment horizontal="center" vertical="center"/>
    </xf>
    <xf numFmtId="3" fontId="26" fillId="0" borderId="12" xfId="1" applyNumberFormat="1" applyFont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0" fillId="0" borderId="91" xfId="0" applyBorder="1" applyAlignment="1">
      <alignment horizontal="center"/>
    </xf>
    <xf numFmtId="0" fontId="0" fillId="0" borderId="91" xfId="0" applyBorder="1"/>
    <xf numFmtId="3" fontId="26" fillId="2" borderId="14" xfId="1" applyNumberFormat="1" applyFont="1" applyFill="1" applyBorder="1" applyAlignment="1">
      <alignment horizontal="center" vertical="center"/>
    </xf>
    <xf numFmtId="3" fontId="26" fillId="2" borderId="1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64" fontId="25" fillId="0" borderId="70" xfId="0" applyNumberFormat="1" applyFont="1" applyBorder="1"/>
    <xf numFmtId="0" fontId="25" fillId="0" borderId="6" xfId="0" applyFont="1" applyBorder="1"/>
    <xf numFmtId="3" fontId="12" fillId="0" borderId="93" xfId="1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35" fillId="0" borderId="0" xfId="0" applyFont="1" applyAlignment="1">
      <alignment vertical="center"/>
    </xf>
    <xf numFmtId="0" fontId="31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Continuous"/>
    </xf>
    <xf numFmtId="0" fontId="38" fillId="0" borderId="56" xfId="0" applyFont="1" applyBorder="1" applyAlignment="1">
      <alignment horizontal="center"/>
    </xf>
    <xf numFmtId="0" fontId="36" fillId="0" borderId="56" xfId="0" applyFont="1" applyBorder="1"/>
    <xf numFmtId="0" fontId="41" fillId="0" borderId="94" xfId="0" applyFont="1" applyBorder="1" applyAlignment="1">
      <alignment horizontal="center"/>
    </xf>
    <xf numFmtId="0" fontId="41" fillId="0" borderId="95" xfId="0" applyFont="1" applyBorder="1"/>
    <xf numFmtId="0" fontId="42" fillId="0" borderId="95" xfId="0" applyFont="1" applyBorder="1" applyAlignment="1">
      <alignment horizontal="center"/>
    </xf>
    <xf numFmtId="0" fontId="41" fillId="0" borderId="96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47" fillId="0" borderId="0" xfId="0" applyFont="1"/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8" fillId="0" borderId="0" xfId="0" applyFont="1" applyAlignment="1">
      <alignment horizontal="center" vertical="top" wrapText="1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2" fillId="0" borderId="91" xfId="0" applyFont="1" applyBorder="1" applyAlignment="1">
      <alignment horizontal="center"/>
    </xf>
    <xf numFmtId="0" fontId="22" fillId="0" borderId="91" xfId="0" applyFont="1" applyBorder="1" applyAlignment="1">
      <alignment horizontal="right"/>
    </xf>
    <xf numFmtId="0" fontId="22" fillId="0" borderId="74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7" xfId="0" applyFont="1" applyFill="1" applyBorder="1" applyAlignment="1">
      <alignment horizontal="center" vertical="center" wrapText="1"/>
    </xf>
    <xf numFmtId="0" fontId="2" fillId="0" borderId="91" xfId="0" applyFont="1" applyBorder="1" applyAlignment="1">
      <alignment horizontal="center" textRotation="90"/>
    </xf>
    <xf numFmtId="0" fontId="2" fillId="0" borderId="91" xfId="0" applyFont="1" applyBorder="1" applyAlignment="1">
      <alignment horizontal="center" textRotation="90" wrapText="1"/>
    </xf>
    <xf numFmtId="2" fontId="2" fillId="0" borderId="91" xfId="0" applyNumberFormat="1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91" xfId="3" applyBorder="1" applyAlignment="1">
      <alignment horizontal="center" textRotation="90" wrapText="1"/>
    </xf>
    <xf numFmtId="0" fontId="2" fillId="0" borderId="22" xfId="3" applyBorder="1" applyAlignment="1">
      <alignment horizontal="center" textRotation="90"/>
    </xf>
    <xf numFmtId="0" fontId="2" fillId="0" borderId="22" xfId="3" applyBorder="1" applyAlignment="1">
      <alignment horizontal="center" textRotation="90" wrapText="1"/>
    </xf>
    <xf numFmtId="0" fontId="2" fillId="0" borderId="0" xfId="0" applyFont="1" applyAlignment="1">
      <alignment wrapText="1"/>
    </xf>
    <xf numFmtId="1" fontId="50" fillId="0" borderId="22" xfId="0" applyNumberFormat="1" applyFont="1" applyBorder="1" applyAlignment="1">
      <alignment horizontal="center" vertical="center" wrapText="1"/>
    </xf>
    <xf numFmtId="1" fontId="50" fillId="0" borderId="91" xfId="0" applyNumberFormat="1" applyFont="1" applyBorder="1" applyAlignment="1">
      <alignment horizontal="center"/>
    </xf>
    <xf numFmtId="0" fontId="50" fillId="0" borderId="0" xfId="0" applyFont="1" applyAlignment="1">
      <alignment wrapText="1"/>
    </xf>
    <xf numFmtId="0" fontId="51" fillId="2" borderId="91" xfId="0" applyFont="1" applyFill="1" applyBorder="1" applyAlignment="1">
      <alignment horizontal="center"/>
    </xf>
    <xf numFmtId="0" fontId="51" fillId="7" borderId="91" xfId="0" applyFont="1" applyFill="1" applyBorder="1" applyAlignment="1" applyProtection="1">
      <alignment horizontal="center"/>
      <protection locked="0"/>
    </xf>
    <xf numFmtId="0" fontId="51" fillId="7" borderId="91" xfId="0" applyFont="1" applyFill="1" applyBorder="1" applyAlignment="1" applyProtection="1">
      <alignment horizontal="left"/>
      <protection locked="0"/>
    </xf>
    <xf numFmtId="1" fontId="51" fillId="0" borderId="91" xfId="0" applyNumberFormat="1" applyFont="1" applyBorder="1" applyAlignment="1" applyProtection="1">
      <alignment horizontal="center"/>
      <protection locked="0"/>
    </xf>
    <xf numFmtId="1" fontId="51" fillId="0" borderId="91" xfId="0" applyNumberFormat="1" applyFont="1" applyBorder="1" applyAlignment="1">
      <alignment horizontal="center"/>
    </xf>
    <xf numFmtId="0" fontId="51" fillId="0" borderId="0" xfId="0" applyFont="1"/>
    <xf numFmtId="0" fontId="51" fillId="2" borderId="91" xfId="0" applyFont="1" applyFill="1" applyBorder="1" applyAlignment="1">
      <alignment horizontal="left"/>
    </xf>
    <xf numFmtId="0" fontId="51" fillId="2" borderId="9" xfId="0" applyFont="1" applyFill="1" applyBorder="1" applyAlignment="1">
      <alignment horizontal="left"/>
    </xf>
    <xf numFmtId="0" fontId="51" fillId="0" borderId="91" xfId="0" applyFont="1" applyBorder="1" applyAlignment="1">
      <alignment horizontal="center"/>
    </xf>
    <xf numFmtId="0" fontId="51" fillId="0" borderId="9" xfId="0" applyFont="1" applyBorder="1" applyAlignment="1">
      <alignment horizontal="left"/>
    </xf>
    <xf numFmtId="0" fontId="51" fillId="0" borderId="90" xfId="0" applyFont="1" applyBorder="1" applyAlignment="1">
      <alignment horizontal="center"/>
    </xf>
    <xf numFmtId="0" fontId="51" fillId="2" borderId="90" xfId="0" applyFont="1" applyFill="1" applyBorder="1" applyAlignment="1">
      <alignment horizontal="center"/>
    </xf>
    <xf numFmtId="0" fontId="52" fillId="2" borderId="91" xfId="3" applyFont="1" applyFill="1" applyBorder="1" applyAlignment="1">
      <alignment horizontal="left"/>
    </xf>
    <xf numFmtId="0" fontId="51" fillId="2" borderId="91" xfId="0" applyFont="1" applyFill="1" applyBorder="1" applyAlignment="1">
      <alignment horizontal="center" wrapText="1"/>
    </xf>
    <xf numFmtId="0" fontId="51" fillId="0" borderId="88" xfId="0" applyFont="1" applyBorder="1" applyAlignment="1">
      <alignment horizontal="center"/>
    </xf>
    <xf numFmtId="0" fontId="53" fillId="0" borderId="91" xfId="0" applyFont="1" applyBorder="1" applyAlignment="1">
      <alignment horizontal="left"/>
    </xf>
    <xf numFmtId="0" fontId="53" fillId="0" borderId="91" xfId="0" applyFont="1" applyBorder="1" applyAlignment="1">
      <alignment horizontal="left" wrapText="1"/>
    </xf>
    <xf numFmtId="0" fontId="51" fillId="0" borderId="88" xfId="0" applyFont="1" applyBorder="1" applyAlignment="1" applyProtection="1">
      <alignment horizontal="center"/>
      <protection locked="0"/>
    </xf>
    <xf numFmtId="0" fontId="52" fillId="0" borderId="91" xfId="0" applyFont="1" applyBorder="1" applyAlignment="1" applyProtection="1">
      <alignment horizontal="left"/>
      <protection locked="0"/>
    </xf>
    <xf numFmtId="0" fontId="51" fillId="0" borderId="90" xfId="0" applyFont="1" applyBorder="1" applyAlignment="1" applyProtection="1">
      <alignment horizontal="center"/>
      <protection locked="0"/>
    </xf>
    <xf numFmtId="0" fontId="50" fillId="0" borderId="91" xfId="0" applyFont="1" applyBorder="1" applyAlignment="1">
      <alignment horizontal="right"/>
    </xf>
    <xf numFmtId="2" fontId="51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7" xfId="0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2" fillId="0" borderId="0" xfId="0" applyFont="1"/>
    <xf numFmtId="1" fontId="22" fillId="0" borderId="0" xfId="0" applyNumberFormat="1" applyFont="1"/>
    <xf numFmtId="0" fontId="54" fillId="0" borderId="0" xfId="0" applyFont="1" applyAlignment="1">
      <alignment horizontal="center"/>
    </xf>
    <xf numFmtId="2" fontId="54" fillId="0" borderId="0" xfId="0" applyNumberFormat="1" applyFont="1"/>
    <xf numFmtId="10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1" fontId="51" fillId="0" borderId="0" xfId="0" applyNumberFormat="1" applyFont="1"/>
    <xf numFmtId="3" fontId="55" fillId="0" borderId="0" xfId="0" applyNumberFormat="1" applyFont="1"/>
    <xf numFmtId="1" fontId="31" fillId="0" borderId="0" xfId="0" applyNumberFormat="1" applyFont="1"/>
    <xf numFmtId="1" fontId="0" fillId="0" borderId="91" xfId="0" applyNumberFormat="1" applyBorder="1" applyAlignment="1">
      <alignment horizontal="center"/>
    </xf>
    <xf numFmtId="3" fontId="12" fillId="0" borderId="71" xfId="1" applyNumberFormat="1" applyFont="1" applyBorder="1" applyAlignment="1">
      <alignment horizontal="center"/>
    </xf>
    <xf numFmtId="3" fontId="12" fillId="0" borderId="89" xfId="1" applyNumberFormat="1" applyFont="1" applyBorder="1" applyAlignment="1">
      <alignment horizontal="center"/>
    </xf>
    <xf numFmtId="0" fontId="44" fillId="0" borderId="65" xfId="0" applyFont="1" applyBorder="1" applyAlignment="1">
      <alignment horizontal="center" vertical="center" textRotation="90"/>
    </xf>
    <xf numFmtId="0" fontId="42" fillId="0" borderId="22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/>
    </xf>
    <xf numFmtId="0" fontId="42" fillId="0" borderId="91" xfId="0" applyFont="1" applyBorder="1" applyAlignment="1">
      <alignment horizontal="center" vertical="center" textRotation="90" wrapText="1"/>
    </xf>
    <xf numFmtId="0" fontId="41" fillId="0" borderId="91" xfId="0" applyFont="1" applyBorder="1" applyAlignment="1">
      <alignment horizontal="center" vertical="center" textRotation="90" wrapText="1"/>
    </xf>
    <xf numFmtId="9" fontId="42" fillId="0" borderId="88" xfId="0" applyNumberFormat="1" applyFont="1" applyBorder="1" applyAlignment="1">
      <alignment horizontal="center" vertical="center" textRotation="90" wrapText="1"/>
    </xf>
    <xf numFmtId="9" fontId="42" fillId="0" borderId="25" xfId="0" applyNumberFormat="1" applyFont="1" applyBorder="1" applyAlignment="1">
      <alignment horizontal="center" vertical="center" textRotation="90" wrapText="1"/>
    </xf>
    <xf numFmtId="0" fontId="41" fillId="0" borderId="61" xfId="0" applyFont="1" applyBorder="1" applyAlignment="1">
      <alignment horizontal="center"/>
    </xf>
    <xf numFmtId="14" fontId="42" fillId="0" borderId="91" xfId="0" applyNumberFormat="1" applyFont="1" applyBorder="1" applyAlignment="1">
      <alignment horizontal="center"/>
    </xf>
    <xf numFmtId="14" fontId="42" fillId="0" borderId="91" xfId="0" applyNumberFormat="1" applyFont="1" applyBorder="1" applyAlignment="1">
      <alignment horizontal="left"/>
    </xf>
    <xf numFmtId="0" fontId="42" fillId="0" borderId="91" xfId="0" applyFont="1" applyBorder="1" applyAlignment="1">
      <alignment horizontal="center"/>
    </xf>
    <xf numFmtId="0" fontId="42" fillId="0" borderId="91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2" xfId="0" applyFont="1" applyBorder="1" applyAlignment="1">
      <alignment vertical="center"/>
    </xf>
    <xf numFmtId="0" fontId="41" fillId="0" borderId="97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1" fontId="41" fillId="0" borderId="22" xfId="0" applyNumberFormat="1" applyFont="1" applyBorder="1" applyAlignment="1">
      <alignment horizontal="center" vertical="center"/>
    </xf>
    <xf numFmtId="0" fontId="42" fillId="0" borderId="91" xfId="0" applyFont="1" applyBorder="1" applyAlignment="1">
      <alignment horizontal="left"/>
    </xf>
    <xf numFmtId="0" fontId="41" fillId="0" borderId="91" xfId="0" applyFont="1" applyBorder="1" applyAlignment="1">
      <alignment vertical="center"/>
    </xf>
    <xf numFmtId="0" fontId="41" fillId="0" borderId="88" xfId="0" applyFont="1" applyBorder="1" applyAlignment="1">
      <alignment vertical="center"/>
    </xf>
    <xf numFmtId="0" fontId="41" fillId="0" borderId="91" xfId="0" applyFont="1" applyBorder="1" applyAlignment="1">
      <alignment horizontal="center"/>
    </xf>
    <xf numFmtId="0" fontId="41" fillId="0" borderId="91" xfId="0" applyFont="1" applyBorder="1" applyAlignment="1">
      <alignment horizontal="left"/>
    </xf>
    <xf numFmtId="0" fontId="41" fillId="0" borderId="88" xfId="0" applyFont="1" applyBorder="1" applyAlignment="1">
      <alignment horizontal="center" vertical="center"/>
    </xf>
    <xf numFmtId="0" fontId="41" fillId="0" borderId="91" xfId="0" applyFont="1" applyBorder="1" applyAlignment="1">
      <alignment horizontal="left" wrapText="1"/>
    </xf>
    <xf numFmtId="0" fontId="41" fillId="0" borderId="91" xfId="0" applyFont="1" applyBorder="1" applyAlignment="1">
      <alignment horizontal="center" wrapText="1"/>
    </xf>
    <xf numFmtId="16" fontId="41" fillId="0" borderId="91" xfId="0" applyNumberFormat="1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22" xfId="0" applyFont="1" applyBorder="1" applyAlignment="1">
      <alignment horizontal="left" wrapText="1"/>
    </xf>
    <xf numFmtId="0" fontId="41" fillId="0" borderId="22" xfId="0" applyFont="1" applyBorder="1" applyAlignment="1">
      <alignment horizontal="center" wrapText="1"/>
    </xf>
    <xf numFmtId="0" fontId="41" fillId="0" borderId="97" xfId="0" applyFont="1" applyBorder="1" applyAlignment="1">
      <alignment horizontal="center" vertical="center"/>
    </xf>
    <xf numFmtId="0" fontId="41" fillId="0" borderId="22" xfId="0" applyFont="1" applyBorder="1" applyAlignment="1">
      <alignment horizontal="left"/>
    </xf>
    <xf numFmtId="1" fontId="41" fillId="0" borderId="97" xfId="0" applyNumberFormat="1" applyFont="1" applyBorder="1" applyAlignment="1">
      <alignment horizontal="center" vertical="center"/>
    </xf>
    <xf numFmtId="1" fontId="44" fillId="0" borderId="23" xfId="0" applyNumberFormat="1" applyFont="1" applyBorder="1" applyAlignment="1">
      <alignment vertical="center"/>
    </xf>
    <xf numFmtId="16" fontId="41" fillId="0" borderId="22" xfId="0" applyNumberFormat="1" applyFont="1" applyBorder="1" applyAlignment="1">
      <alignment horizontal="center"/>
    </xf>
    <xf numFmtId="1" fontId="41" fillId="0" borderId="91" xfId="0" applyNumberFormat="1" applyFont="1" applyBorder="1" applyAlignment="1">
      <alignment horizontal="center" vertical="center"/>
    </xf>
    <xf numFmtId="1" fontId="41" fillId="0" borderId="88" xfId="0" applyNumberFormat="1" applyFont="1" applyBorder="1" applyAlignment="1">
      <alignment horizontal="center" vertical="center"/>
    </xf>
    <xf numFmtId="1" fontId="41" fillId="0" borderId="91" xfId="0" applyNumberFormat="1" applyFont="1" applyBorder="1" applyAlignment="1">
      <alignment vertical="center"/>
    </xf>
    <xf numFmtId="14" fontId="41" fillId="0" borderId="91" xfId="0" applyNumberFormat="1" applyFont="1" applyBorder="1" applyAlignment="1">
      <alignment horizontal="center"/>
    </xf>
    <xf numFmtId="0" fontId="41" fillId="0" borderId="9" xfId="0" applyFont="1" applyBorder="1" applyAlignment="1">
      <alignment horizontal="left"/>
    </xf>
    <xf numFmtId="0" fontId="41" fillId="0" borderId="9" xfId="0" applyFont="1" applyBorder="1" applyAlignment="1">
      <alignment horizontal="center"/>
    </xf>
    <xf numFmtId="1" fontId="41" fillId="0" borderId="9" xfId="0" applyNumberFormat="1" applyFont="1" applyBorder="1" applyAlignment="1">
      <alignment vertical="center"/>
    </xf>
    <xf numFmtId="1" fontId="41" fillId="0" borderId="9" xfId="0" applyNumberFormat="1" applyFont="1" applyBorder="1" applyAlignment="1">
      <alignment horizontal="center" vertical="center"/>
    </xf>
    <xf numFmtId="1" fontId="41" fillId="0" borderId="98" xfId="0" applyNumberFormat="1" applyFont="1" applyBorder="1" applyAlignment="1">
      <alignment horizontal="center" vertical="center"/>
    </xf>
    <xf numFmtId="0" fontId="41" fillId="0" borderId="64" xfId="0" applyFont="1" applyBorder="1" applyAlignment="1">
      <alignment horizontal="center"/>
    </xf>
    <xf numFmtId="0" fontId="43" fillId="0" borderId="58" xfId="0" applyFont="1" applyBorder="1" applyAlignment="1">
      <alignment horizontal="right"/>
    </xf>
    <xf numFmtId="0" fontId="43" fillId="0" borderId="72" xfId="0" applyFont="1" applyBorder="1" applyAlignment="1">
      <alignment horizontal="right"/>
    </xf>
    <xf numFmtId="0" fontId="41" fillId="0" borderId="72" xfId="0" applyFont="1" applyBorder="1"/>
    <xf numFmtId="0" fontId="42" fillId="0" borderId="7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3" fontId="12" fillId="0" borderId="67" xfId="1" applyNumberFormat="1" applyFont="1" applyBorder="1" applyAlignment="1">
      <alignment horizontal="center"/>
    </xf>
    <xf numFmtId="3" fontId="12" fillId="0" borderId="24" xfId="1" applyNumberFormat="1" applyFont="1" applyBorder="1" applyAlignment="1">
      <alignment horizontal="center"/>
    </xf>
    <xf numFmtId="164" fontId="25" fillId="0" borderId="91" xfId="0" applyNumberFormat="1" applyFont="1" applyBorder="1"/>
    <xf numFmtId="3" fontId="12" fillId="0" borderId="31" xfId="1" applyNumberFormat="1" applyFont="1" applyBorder="1" applyAlignment="1">
      <alignment horizontal="center"/>
    </xf>
    <xf numFmtId="3" fontId="12" fillId="0" borderId="32" xfId="1" applyNumberFormat="1" applyFont="1" applyBorder="1" applyAlignment="1">
      <alignment horizontal="center"/>
    </xf>
    <xf numFmtId="3" fontId="12" fillId="0" borderId="28" xfId="1" applyNumberFormat="1" applyFont="1" applyBorder="1" applyAlignment="1">
      <alignment horizontal="center"/>
    </xf>
    <xf numFmtId="0" fontId="62" fillId="0" borderId="99" xfId="0" applyFont="1" applyBorder="1" applyAlignment="1">
      <alignment horizontal="center" vertical="center" wrapText="1"/>
    </xf>
    <xf numFmtId="0" fontId="15" fillId="2" borderId="67" xfId="0" applyFont="1" applyFill="1" applyBorder="1" applyAlignment="1">
      <alignment wrapText="1"/>
    </xf>
    <xf numFmtId="0" fontId="25" fillId="0" borderId="100" xfId="0" applyFont="1" applyBorder="1"/>
    <xf numFmtId="0" fontId="25" fillId="0" borderId="71" xfId="0" applyFont="1" applyBorder="1" applyAlignment="1">
      <alignment horizontal="center"/>
    </xf>
    <xf numFmtId="0" fontId="25" fillId="0" borderId="101" xfId="0" applyFont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85" xfId="0" applyFont="1" applyFill="1" applyBorder="1" applyAlignment="1">
      <alignment horizontal="center"/>
    </xf>
    <xf numFmtId="0" fontId="15" fillId="2" borderId="70" xfId="0" applyFont="1" applyFill="1" applyBorder="1" applyAlignment="1">
      <alignment horizontal="center"/>
    </xf>
    <xf numFmtId="0" fontId="15" fillId="2" borderId="102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/>
    </xf>
    <xf numFmtId="0" fontId="15" fillId="9" borderId="103" xfId="0" applyFont="1" applyFill="1" applyBorder="1"/>
    <xf numFmtId="0" fontId="25" fillId="2" borderId="104" xfId="0" applyFont="1" applyFill="1" applyBorder="1" applyAlignment="1">
      <alignment horizontal="center"/>
    </xf>
    <xf numFmtId="0" fontId="25" fillId="9" borderId="61" xfId="0" applyFont="1" applyFill="1" applyBorder="1"/>
    <xf numFmtId="0" fontId="25" fillId="2" borderId="25" xfId="0" applyFont="1" applyFill="1" applyBorder="1" applyAlignment="1">
      <alignment horizontal="center"/>
    </xf>
    <xf numFmtId="0" fontId="25" fillId="2" borderId="61" xfId="0" applyFont="1" applyFill="1" applyBorder="1" applyAlignment="1">
      <alignment horizontal="center"/>
    </xf>
    <xf numFmtId="0" fontId="25" fillId="2" borderId="105" xfId="0" applyFont="1" applyFill="1" applyBorder="1" applyAlignment="1">
      <alignment horizontal="center"/>
    </xf>
    <xf numFmtId="0" fontId="25" fillId="2" borderId="106" xfId="0" applyFont="1" applyFill="1" applyBorder="1" applyAlignment="1">
      <alignment horizontal="center"/>
    </xf>
    <xf numFmtId="0" fontId="25" fillId="2" borderId="74" xfId="0" applyFont="1" applyFill="1" applyBorder="1" applyAlignment="1">
      <alignment horizontal="center"/>
    </xf>
    <xf numFmtId="0" fontId="25" fillId="2" borderId="99" xfId="0" applyFont="1" applyFill="1" applyBorder="1" applyAlignment="1">
      <alignment horizontal="center"/>
    </xf>
    <xf numFmtId="0" fontId="25" fillId="2" borderId="65" xfId="0" applyFont="1" applyFill="1" applyBorder="1" applyAlignment="1">
      <alignment horizontal="center"/>
    </xf>
    <xf numFmtId="0" fontId="25" fillId="2" borderId="102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9" borderId="0" xfId="0" applyFont="1" applyFill="1"/>
    <xf numFmtId="0" fontId="63" fillId="2" borderId="100" xfId="0" applyFont="1" applyFill="1" applyBorder="1" applyAlignment="1">
      <alignment horizontal="left"/>
    </xf>
    <xf numFmtId="3" fontId="25" fillId="0" borderId="104" xfId="0" applyNumberFormat="1" applyFont="1" applyBorder="1" applyAlignment="1">
      <alignment horizontal="center"/>
    </xf>
    <xf numFmtId="0" fontId="25" fillId="0" borderId="61" xfId="0" applyFont="1" applyBorder="1" applyAlignment="1">
      <alignment horizontal="center"/>
    </xf>
    <xf numFmtId="3" fontId="25" fillId="2" borderId="25" xfId="0" applyNumberFormat="1" applyFont="1" applyFill="1" applyBorder="1" applyAlignment="1">
      <alignment horizontal="center"/>
    </xf>
    <xf numFmtId="3" fontId="25" fillId="2" borderId="61" xfId="0" applyNumberFormat="1" applyFont="1" applyFill="1" applyBorder="1" applyAlignment="1">
      <alignment horizontal="center"/>
    </xf>
    <xf numFmtId="3" fontId="25" fillId="2" borderId="104" xfId="0" applyNumberFormat="1" applyFont="1" applyFill="1" applyBorder="1" applyAlignment="1">
      <alignment horizontal="center"/>
    </xf>
    <xf numFmtId="3" fontId="25" fillId="2" borderId="105" xfId="0" applyNumberFormat="1" applyFont="1" applyFill="1" applyBorder="1" applyAlignment="1">
      <alignment horizontal="center"/>
    </xf>
    <xf numFmtId="3" fontId="25" fillId="2" borderId="106" xfId="0" applyNumberFormat="1" applyFont="1" applyFill="1" applyBorder="1" applyAlignment="1">
      <alignment horizontal="center"/>
    </xf>
    <xf numFmtId="3" fontId="25" fillId="2" borderId="74" xfId="0" applyNumberFormat="1" applyFont="1" applyFill="1" applyBorder="1" applyAlignment="1">
      <alignment horizontal="center"/>
    </xf>
    <xf numFmtId="3" fontId="25" fillId="2" borderId="24" xfId="0" applyNumberFormat="1" applyFont="1" applyFill="1" applyBorder="1" applyAlignment="1">
      <alignment horizontal="center"/>
    </xf>
    <xf numFmtId="3" fontId="64" fillId="2" borderId="24" xfId="0" applyNumberFormat="1" applyFont="1" applyFill="1" applyBorder="1" applyAlignment="1">
      <alignment horizontal="center"/>
    </xf>
    <xf numFmtId="3" fontId="25" fillId="0" borderId="61" xfId="0" applyNumberFormat="1" applyFont="1" applyBorder="1" applyAlignment="1">
      <alignment horizontal="center"/>
    </xf>
    <xf numFmtId="3" fontId="25" fillId="2" borderId="25" xfId="0" applyNumberFormat="1" applyFont="1" applyFill="1" applyBorder="1" applyAlignment="1">
      <alignment horizontal="center" vertical="center"/>
    </xf>
    <xf numFmtId="3" fontId="17" fillId="2" borderId="61" xfId="0" applyNumberFormat="1" applyFont="1" applyFill="1" applyBorder="1" applyAlignment="1">
      <alignment horizontal="center"/>
    </xf>
    <xf numFmtId="3" fontId="17" fillId="2" borderId="104" xfId="0" applyNumberFormat="1" applyFont="1" applyFill="1" applyBorder="1" applyAlignment="1">
      <alignment horizontal="center"/>
    </xf>
    <xf numFmtId="0" fontId="15" fillId="10" borderId="100" xfId="0" applyFont="1" applyFill="1" applyBorder="1" applyAlignment="1">
      <alignment horizontal="right"/>
    </xf>
    <xf numFmtId="3" fontId="15" fillId="11" borderId="105" xfId="0" applyNumberFormat="1" applyFont="1" applyFill="1" applyBorder="1" applyAlignment="1">
      <alignment horizontal="center"/>
    </xf>
    <xf numFmtId="3" fontId="15" fillId="11" borderId="25" xfId="0" applyNumberFormat="1" applyFont="1" applyFill="1" applyBorder="1" applyAlignment="1">
      <alignment horizontal="center"/>
    </xf>
    <xf numFmtId="3" fontId="15" fillId="11" borderId="61" xfId="0" applyNumberFormat="1" applyFont="1" applyFill="1" applyBorder="1" applyAlignment="1">
      <alignment horizontal="center"/>
    </xf>
    <xf numFmtId="3" fontId="15" fillId="11" borderId="104" xfId="0" applyNumberFormat="1" applyFont="1" applyFill="1" applyBorder="1" applyAlignment="1">
      <alignment horizontal="center"/>
    </xf>
    <xf numFmtId="3" fontId="15" fillId="11" borderId="91" xfId="0" applyNumberFormat="1" applyFont="1" applyFill="1" applyBorder="1" applyAlignment="1">
      <alignment horizontal="center"/>
    </xf>
    <xf numFmtId="3" fontId="15" fillId="11" borderId="74" xfId="0" applyNumberFormat="1" applyFont="1" applyFill="1" applyBorder="1" applyAlignment="1">
      <alignment horizontal="center"/>
    </xf>
    <xf numFmtId="3" fontId="15" fillId="11" borderId="24" xfId="0" applyNumberFormat="1" applyFont="1" applyFill="1" applyBorder="1" applyAlignment="1">
      <alignment horizontal="center"/>
    </xf>
    <xf numFmtId="3" fontId="15" fillId="11" borderId="106" xfId="0" applyNumberFormat="1" applyFont="1" applyFill="1" applyBorder="1" applyAlignment="1">
      <alignment horizontal="center"/>
    </xf>
    <xf numFmtId="3" fontId="65" fillId="2" borderId="24" xfId="0" applyNumberFormat="1" applyFont="1" applyFill="1" applyBorder="1" applyAlignment="1">
      <alignment horizontal="center"/>
    </xf>
    <xf numFmtId="3" fontId="25" fillId="0" borderId="0" xfId="0" applyNumberFormat="1" applyFont="1"/>
    <xf numFmtId="0" fontId="25" fillId="10" borderId="0" xfId="0" applyFont="1" applyFill="1"/>
    <xf numFmtId="2" fontId="64" fillId="2" borderId="24" xfId="0" applyNumberFormat="1" applyFont="1" applyFill="1" applyBorder="1" applyAlignment="1">
      <alignment horizontal="center"/>
    </xf>
    <xf numFmtId="0" fontId="66" fillId="0" borderId="100" xfId="0" applyFont="1" applyBorder="1" applyAlignment="1">
      <alignment horizontal="left"/>
    </xf>
    <xf numFmtId="1" fontId="25" fillId="2" borderId="105" xfId="0" applyNumberFormat="1" applyFont="1" applyFill="1" applyBorder="1" applyAlignment="1">
      <alignment horizontal="center"/>
    </xf>
    <xf numFmtId="1" fontId="25" fillId="2" borderId="104" xfId="0" applyNumberFormat="1" applyFont="1" applyFill="1" applyBorder="1" applyAlignment="1">
      <alignment horizontal="center"/>
    </xf>
    <xf numFmtId="1" fontId="25" fillId="2" borderId="25" xfId="0" applyNumberFormat="1" applyFont="1" applyFill="1" applyBorder="1" applyAlignment="1">
      <alignment horizontal="center"/>
    </xf>
    <xf numFmtId="1" fontId="25" fillId="2" borderId="61" xfId="0" applyNumberFormat="1" applyFont="1" applyFill="1" applyBorder="1" applyAlignment="1">
      <alignment horizontal="center"/>
    </xf>
    <xf numFmtId="1" fontId="25" fillId="2" borderId="106" xfId="0" applyNumberFormat="1" applyFont="1" applyFill="1" applyBorder="1" applyAlignment="1">
      <alignment horizontal="center"/>
    </xf>
    <xf numFmtId="1" fontId="25" fillId="2" borderId="74" xfId="0" applyNumberFormat="1" applyFont="1" applyFill="1" applyBorder="1" applyAlignment="1">
      <alignment horizontal="center"/>
    </xf>
    <xf numFmtId="1" fontId="25" fillId="2" borderId="24" xfId="0" applyNumberFormat="1" applyFont="1" applyFill="1" applyBorder="1" applyAlignment="1">
      <alignment horizontal="center"/>
    </xf>
    <xf numFmtId="0" fontId="66" fillId="0" borderId="100" xfId="0" applyFont="1" applyBorder="1"/>
    <xf numFmtId="2" fontId="25" fillId="2" borderId="105" xfId="0" applyNumberFormat="1" applyFont="1" applyFill="1" applyBorder="1" applyAlignment="1">
      <alignment horizontal="center"/>
    </xf>
    <xf numFmtId="2" fontId="25" fillId="2" borderId="106" xfId="0" applyNumberFormat="1" applyFont="1" applyFill="1" applyBorder="1" applyAlignment="1">
      <alignment horizontal="center"/>
    </xf>
    <xf numFmtId="2" fontId="25" fillId="2" borderId="74" xfId="0" applyNumberFormat="1" applyFont="1" applyFill="1" applyBorder="1" applyAlignment="1">
      <alignment horizontal="center"/>
    </xf>
    <xf numFmtId="2" fontId="25" fillId="2" borderId="24" xfId="0" applyNumberFormat="1" applyFont="1" applyFill="1" applyBorder="1" applyAlignment="1">
      <alignment horizontal="center"/>
    </xf>
    <xf numFmtId="2" fontId="25" fillId="2" borderId="61" xfId="0" applyNumberFormat="1" applyFont="1" applyFill="1" applyBorder="1" applyAlignment="1">
      <alignment horizontal="center"/>
    </xf>
    <xf numFmtId="2" fontId="25" fillId="2" borderId="104" xfId="0" applyNumberFormat="1" applyFont="1" applyFill="1" applyBorder="1" applyAlignment="1">
      <alignment horizontal="center"/>
    </xf>
    <xf numFmtId="2" fontId="25" fillId="2" borderId="25" xfId="0" applyNumberFormat="1" applyFont="1" applyFill="1" applyBorder="1" applyAlignment="1">
      <alignment horizontal="center"/>
    </xf>
    <xf numFmtId="0" fontId="66" fillId="0" borderId="103" xfId="0" applyFont="1" applyBorder="1" applyAlignment="1">
      <alignment horizontal="left"/>
    </xf>
    <xf numFmtId="1" fontId="25" fillId="0" borderId="105" xfId="0" applyNumberFormat="1" applyFont="1" applyBorder="1" applyAlignment="1">
      <alignment horizontal="center"/>
    </xf>
    <xf numFmtId="1" fontId="25" fillId="0" borderId="104" xfId="0" applyNumberFormat="1" applyFont="1" applyBorder="1" applyAlignment="1">
      <alignment horizontal="center"/>
    </xf>
    <xf numFmtId="0" fontId="15" fillId="8" borderId="107" xfId="0" applyFont="1" applyFill="1" applyBorder="1" applyAlignment="1">
      <alignment horizontal="right"/>
    </xf>
    <xf numFmtId="1" fontId="15" fillId="8" borderId="108" xfId="0" applyNumberFormat="1" applyFont="1" applyFill="1" applyBorder="1" applyAlignment="1">
      <alignment horizontal="center"/>
    </xf>
    <xf numFmtId="1" fontId="15" fillId="8" borderId="109" xfId="0" applyNumberFormat="1" applyFont="1" applyFill="1" applyBorder="1" applyAlignment="1">
      <alignment horizontal="center"/>
    </xf>
    <xf numFmtId="1" fontId="15" fillId="8" borderId="110" xfId="0" applyNumberFormat="1" applyFont="1" applyFill="1" applyBorder="1" applyAlignment="1">
      <alignment horizontal="center"/>
    </xf>
    <xf numFmtId="1" fontId="15" fillId="8" borderId="111" xfId="0" applyNumberFormat="1" applyFont="1" applyFill="1" applyBorder="1" applyAlignment="1">
      <alignment horizontal="center"/>
    </xf>
    <xf numFmtId="1" fontId="15" fillId="8" borderId="112" xfId="0" applyNumberFormat="1" applyFont="1" applyFill="1" applyBorder="1" applyAlignment="1">
      <alignment horizontal="center"/>
    </xf>
    <xf numFmtId="1" fontId="15" fillId="8" borderId="113" xfId="0" applyNumberFormat="1" applyFont="1" applyFill="1" applyBorder="1" applyAlignment="1">
      <alignment horizontal="center"/>
    </xf>
    <xf numFmtId="1" fontId="15" fillId="8" borderId="68" xfId="0" applyNumberFormat="1" applyFont="1" applyFill="1" applyBorder="1" applyAlignment="1">
      <alignment horizontal="center"/>
    </xf>
    <xf numFmtId="1" fontId="15" fillId="8" borderId="114" xfId="0" applyNumberFormat="1" applyFont="1" applyFill="1" applyBorder="1" applyAlignment="1">
      <alignment horizontal="center"/>
    </xf>
    <xf numFmtId="3" fontId="15" fillId="8" borderId="61" xfId="0" applyNumberFormat="1" applyFont="1" applyFill="1" applyBorder="1" applyAlignment="1">
      <alignment horizontal="center"/>
    </xf>
    <xf numFmtId="3" fontId="15" fillId="8" borderId="104" xfId="0" applyNumberFormat="1" applyFont="1" applyFill="1" applyBorder="1" applyAlignment="1">
      <alignment horizontal="center"/>
    </xf>
    <xf numFmtId="2" fontId="64" fillId="8" borderId="115" xfId="0" applyNumberFormat="1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1" fontId="25" fillId="2" borderId="11" xfId="0" applyNumberFormat="1" applyFont="1" applyFill="1" applyBorder="1" applyAlignment="1">
      <alignment horizontal="center"/>
    </xf>
    <xf numFmtId="1" fontId="25" fillId="2" borderId="66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2" borderId="62" xfId="0" applyFont="1" applyFill="1" applyBorder="1" applyAlignment="1">
      <alignment horizontal="center"/>
    </xf>
    <xf numFmtId="9" fontId="42" fillId="0" borderId="99" xfId="0" applyNumberFormat="1" applyFont="1" applyBorder="1" applyAlignment="1">
      <alignment horizontal="center" vertical="center" textRotation="90" wrapText="1"/>
    </xf>
    <xf numFmtId="0" fontId="41" fillId="0" borderId="105" xfId="0" applyFont="1" applyBorder="1" applyAlignment="1">
      <alignment horizontal="center"/>
    </xf>
    <xf numFmtId="0" fontId="41" fillId="0" borderId="106" xfId="0" applyFont="1" applyBorder="1" applyAlignment="1">
      <alignment horizontal="left"/>
    </xf>
    <xf numFmtId="0" fontId="41" fillId="0" borderId="106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top"/>
    </xf>
    <xf numFmtId="0" fontId="68" fillId="0" borderId="91" xfId="0" applyFont="1" applyBorder="1"/>
    <xf numFmtId="0" fontId="41" fillId="0" borderId="65" xfId="0" applyFont="1" applyBorder="1" applyAlignment="1">
      <alignment horizontal="center"/>
    </xf>
    <xf numFmtId="1" fontId="68" fillId="0" borderId="91" xfId="0" applyNumberFormat="1" applyFont="1" applyBorder="1"/>
    <xf numFmtId="1" fontId="41" fillId="0" borderId="99" xfId="0" applyNumberFormat="1" applyFont="1" applyBorder="1" applyAlignment="1">
      <alignment horizontal="center" vertical="center"/>
    </xf>
    <xf numFmtId="0" fontId="41" fillId="0" borderId="112" xfId="0" applyFont="1" applyBorder="1" applyAlignment="1">
      <alignment horizontal="left"/>
    </xf>
    <xf numFmtId="0" fontId="41" fillId="0" borderId="112" xfId="0" applyFont="1" applyBorder="1" applyAlignment="1">
      <alignment horizontal="center"/>
    </xf>
    <xf numFmtId="1" fontId="41" fillId="0" borderId="112" xfId="0" applyNumberFormat="1" applyFont="1" applyBorder="1" applyAlignment="1">
      <alignment vertical="center"/>
    </xf>
    <xf numFmtId="1" fontId="41" fillId="0" borderId="112" xfId="0" applyNumberFormat="1" applyFont="1" applyBorder="1" applyAlignment="1">
      <alignment horizontal="center" vertical="center"/>
    </xf>
    <xf numFmtId="1" fontId="41" fillId="0" borderId="116" xfId="0" applyNumberFormat="1" applyFont="1" applyBorder="1" applyAlignment="1">
      <alignment horizontal="center" vertical="center"/>
    </xf>
    <xf numFmtId="1" fontId="42" fillId="0" borderId="72" xfId="0" applyNumberFormat="1" applyFont="1" applyBorder="1" applyAlignment="1">
      <alignment horizontal="center" vertical="center"/>
    </xf>
    <xf numFmtId="0" fontId="67" fillId="0" borderId="91" xfId="0" applyFont="1" applyBorder="1" applyAlignment="1">
      <alignment horizontal="center"/>
    </xf>
    <xf numFmtId="0" fontId="67" fillId="0" borderId="91" xfId="0" applyFont="1" applyBorder="1"/>
    <xf numFmtId="0" fontId="67" fillId="0" borderId="0" xfId="0" applyFont="1"/>
    <xf numFmtId="1" fontId="67" fillId="0" borderId="0" xfId="0" applyNumberFormat="1" applyFont="1"/>
    <xf numFmtId="0" fontId="31" fillId="0" borderId="91" xfId="0" applyFont="1" applyBorder="1" applyAlignment="1">
      <alignment horizontal="center"/>
    </xf>
    <xf numFmtId="0" fontId="31" fillId="0" borderId="91" xfId="0" applyFont="1" applyBorder="1"/>
    <xf numFmtId="1" fontId="31" fillId="0" borderId="91" xfId="0" applyNumberFormat="1" applyFont="1" applyBorder="1" applyAlignment="1">
      <alignment horizontal="left"/>
    </xf>
    <xf numFmtId="0" fontId="31" fillId="0" borderId="91" xfId="0" applyFont="1" applyBorder="1" applyAlignment="1">
      <alignment horizontal="left"/>
    </xf>
    <xf numFmtId="0" fontId="41" fillId="0" borderId="117" xfId="0" applyFont="1" applyBorder="1" applyAlignment="1">
      <alignment horizontal="center"/>
    </xf>
    <xf numFmtId="0" fontId="41" fillId="0" borderId="11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top"/>
    </xf>
    <xf numFmtId="0" fontId="41" fillId="0" borderId="97" xfId="0" applyFont="1" applyBorder="1" applyAlignment="1">
      <alignment horizontal="center"/>
    </xf>
    <xf numFmtId="3" fontId="12" fillId="0" borderId="49" xfId="1" applyNumberFormat="1" applyFont="1" applyBorder="1" applyAlignment="1">
      <alignment horizontal="center" vertical="center"/>
    </xf>
    <xf numFmtId="3" fontId="12" fillId="0" borderId="51" xfId="1" applyNumberFormat="1" applyFont="1" applyBorder="1" applyAlignment="1">
      <alignment horizontal="center" vertical="center"/>
    </xf>
    <xf numFmtId="3" fontId="12" fillId="0" borderId="55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3" fontId="4" fillId="2" borderId="22" xfId="1" applyNumberFormat="1" applyFont="1" applyFill="1" applyBorder="1" applyAlignment="1">
      <alignment horizontal="center" vertical="center"/>
    </xf>
    <xf numFmtId="3" fontId="4" fillId="2" borderId="77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12" fillId="0" borderId="48" xfId="1" applyNumberFormat="1" applyFont="1" applyBorder="1" applyAlignment="1">
      <alignment horizontal="center" vertical="center"/>
    </xf>
    <xf numFmtId="3" fontId="12" fillId="0" borderId="50" xfId="1" applyNumberFormat="1" applyFont="1" applyBorder="1" applyAlignment="1">
      <alignment horizontal="center" vertical="center"/>
    </xf>
    <xf numFmtId="3" fontId="12" fillId="0" borderId="52" xfId="1" applyNumberFormat="1" applyFont="1" applyBorder="1" applyAlignment="1">
      <alignment horizontal="center" vertical="center"/>
    </xf>
    <xf numFmtId="1" fontId="25" fillId="0" borderId="66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left"/>
    </xf>
    <xf numFmtId="0" fontId="50" fillId="2" borderId="88" xfId="0" applyFont="1" applyFill="1" applyBorder="1" applyAlignment="1">
      <alignment horizontal="center" vertical="center" wrapText="1"/>
    </xf>
    <xf numFmtId="0" fontId="50" fillId="2" borderId="89" xfId="0" applyFont="1" applyFill="1" applyBorder="1" applyAlignment="1">
      <alignment horizontal="center" vertical="center" wrapText="1"/>
    </xf>
    <xf numFmtId="0" fontId="50" fillId="2" borderId="90" xfId="0" applyFont="1" applyFill="1" applyBorder="1" applyAlignment="1">
      <alignment horizontal="center" vertical="center" wrapText="1"/>
    </xf>
    <xf numFmtId="0" fontId="50" fillId="0" borderId="88" xfId="0" applyFont="1" applyBorder="1" applyAlignment="1">
      <alignment horizontal="center" vertical="center" wrapText="1"/>
    </xf>
    <xf numFmtId="0" fontId="50" fillId="0" borderId="89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0" fontId="50" fillId="0" borderId="88" xfId="0" applyFont="1" applyBorder="1" applyAlignment="1">
      <alignment horizontal="center"/>
    </xf>
    <xf numFmtId="0" fontId="50" fillId="0" borderId="89" xfId="0" applyFont="1" applyBorder="1" applyAlignment="1">
      <alignment horizontal="center"/>
    </xf>
    <xf numFmtId="0" fontId="50" fillId="0" borderId="90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46" fillId="0" borderId="47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48" fillId="2" borderId="0" xfId="0" applyFont="1" applyFill="1" applyAlignment="1">
      <alignment horizontal="center" vertical="center" wrapText="1"/>
    </xf>
    <xf numFmtId="0" fontId="49" fillId="0" borderId="0" xfId="2" applyFont="1" applyBorder="1" applyAlignment="1">
      <alignment horizontal="center" vertical="top"/>
    </xf>
    <xf numFmtId="0" fontId="22" fillId="0" borderId="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0" borderId="6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wrapText="1"/>
    </xf>
    <xf numFmtId="0" fontId="25" fillId="2" borderId="74" xfId="0" applyFont="1" applyFill="1" applyBorder="1" applyAlignment="1">
      <alignment horizontal="center"/>
    </xf>
    <xf numFmtId="0" fontId="25" fillId="2" borderId="10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55" fillId="0" borderId="56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31" fillId="0" borderId="0" xfId="4" applyFont="1"/>
    <xf numFmtId="0" fontId="31" fillId="0" borderId="0" xfId="4" applyFont="1" applyAlignment="1">
      <alignment horizontal="center"/>
    </xf>
    <xf numFmtId="0" fontId="69" fillId="0" borderId="0" xfId="4" applyFont="1"/>
    <xf numFmtId="0" fontId="69" fillId="0" borderId="0" xfId="4" applyFont="1" applyAlignment="1">
      <alignment horizontal="center"/>
    </xf>
    <xf numFmtId="0" fontId="70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71" fillId="0" borderId="0" xfId="4" applyFont="1" applyAlignment="1">
      <alignment horizontal="center"/>
    </xf>
    <xf numFmtId="0" fontId="36" fillId="0" borderId="0" xfId="4" applyFont="1"/>
    <xf numFmtId="0" fontId="36" fillId="0" borderId="0" xfId="4" applyFont="1" applyAlignment="1">
      <alignment horizontal="center" vertical="center"/>
    </xf>
    <xf numFmtId="0" fontId="36" fillId="0" borderId="0" xfId="4" applyFont="1" applyAlignment="1">
      <alignment horizontal="center"/>
    </xf>
    <xf numFmtId="0" fontId="70" fillId="0" borderId="0" xfId="4" applyFont="1" applyAlignment="1">
      <alignment horizontal="center" vertical="center"/>
    </xf>
    <xf numFmtId="0" fontId="38" fillId="0" borderId="0" xfId="4" applyFont="1"/>
    <xf numFmtId="0" fontId="38" fillId="0" borderId="0" xfId="4" applyFont="1" applyAlignment="1">
      <alignment horizontal="center"/>
    </xf>
    <xf numFmtId="0" fontId="36" fillId="0" borderId="0" xfId="4" applyFont="1" applyAlignment="1">
      <alignment horizontal="left"/>
    </xf>
    <xf numFmtId="0" fontId="44" fillId="0" borderId="0" xfId="4" applyFont="1" applyAlignment="1">
      <alignment vertical="center"/>
    </xf>
    <xf numFmtId="0" fontId="41" fillId="0" borderId="0" xfId="4" applyFont="1" applyAlignment="1">
      <alignment vertical="center"/>
    </xf>
    <xf numFmtId="0" fontId="41" fillId="0" borderId="0" xfId="4" applyFont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42" fillId="0" borderId="0" xfId="4" applyFont="1" applyAlignment="1">
      <alignment horizontal="right"/>
    </xf>
    <xf numFmtId="0" fontId="41" fillId="0" borderId="0" xfId="4" applyFont="1"/>
    <xf numFmtId="0" fontId="41" fillId="0" borderId="0" xfId="4" applyFont="1" applyAlignment="1">
      <alignment horizontal="center"/>
    </xf>
    <xf numFmtId="0" fontId="42" fillId="0" borderId="53" xfId="4" applyFont="1" applyBorder="1" applyAlignment="1">
      <alignment horizontal="center" vertical="center"/>
    </xf>
    <xf numFmtId="0" fontId="42" fillId="0" borderId="72" xfId="4" applyFont="1" applyBorder="1" applyAlignment="1">
      <alignment horizontal="center" vertical="center"/>
    </xf>
    <xf numFmtId="0" fontId="43" fillId="0" borderId="72" xfId="4" applyFont="1" applyBorder="1" applyAlignment="1">
      <alignment horizontal="right"/>
    </xf>
    <xf numFmtId="0" fontId="41" fillId="0" borderId="72" xfId="4" applyFont="1" applyBorder="1"/>
    <xf numFmtId="0" fontId="41" fillId="0" borderId="64" xfId="4" applyFont="1" applyBorder="1" applyAlignment="1">
      <alignment horizontal="center"/>
    </xf>
    <xf numFmtId="0" fontId="44" fillId="0" borderId="23" xfId="4" applyFont="1" applyBorder="1" applyAlignment="1">
      <alignment vertical="center"/>
    </xf>
    <xf numFmtId="0" fontId="41" fillId="0" borderId="99" xfId="4" applyFont="1" applyBorder="1" applyAlignment="1">
      <alignment horizontal="center" vertical="center"/>
    </xf>
    <xf numFmtId="0" fontId="41" fillId="0" borderId="91" xfId="4" applyFont="1" applyBorder="1" applyAlignment="1">
      <alignment horizontal="center" vertical="center"/>
    </xf>
    <xf numFmtId="0" fontId="41" fillId="0" borderId="91" xfId="4" applyFont="1" applyBorder="1" applyAlignment="1">
      <alignment vertical="center"/>
    </xf>
    <xf numFmtId="0" fontId="41" fillId="0" borderId="91" xfId="4" applyFont="1" applyBorder="1" applyAlignment="1">
      <alignment horizontal="center"/>
    </xf>
    <xf numFmtId="0" fontId="41" fillId="0" borderId="91" xfId="4" applyFont="1" applyBorder="1" applyAlignment="1">
      <alignment horizontal="left"/>
    </xf>
    <xf numFmtId="0" fontId="41" fillId="0" borderId="61" xfId="4" applyFont="1" applyBorder="1" applyAlignment="1">
      <alignment horizontal="center"/>
    </xf>
    <xf numFmtId="0" fontId="42" fillId="0" borderId="91" xfId="4" applyFont="1" applyBorder="1" applyAlignment="1">
      <alignment horizontal="left"/>
    </xf>
    <xf numFmtId="0" fontId="41" fillId="0" borderId="112" xfId="4" applyFont="1" applyBorder="1" applyAlignment="1">
      <alignment horizontal="left"/>
    </xf>
    <xf numFmtId="14" fontId="42" fillId="0" borderId="91" xfId="4" applyNumberFormat="1" applyFont="1" applyBorder="1" applyAlignment="1">
      <alignment horizontal="center"/>
    </xf>
    <xf numFmtId="0" fontId="41" fillId="0" borderId="99" xfId="4" applyFont="1" applyBorder="1" applyAlignment="1">
      <alignment vertical="center"/>
    </xf>
    <xf numFmtId="0" fontId="42" fillId="0" borderId="91" xfId="4" applyFont="1" applyBorder="1" applyAlignment="1">
      <alignment horizontal="center" vertical="center"/>
    </xf>
    <xf numFmtId="0" fontId="42" fillId="0" borderId="91" xfId="4" applyFont="1" applyBorder="1" applyAlignment="1">
      <alignment horizontal="center"/>
    </xf>
    <xf numFmtId="0" fontId="41" fillId="0" borderId="97" xfId="4" applyFont="1" applyBorder="1" applyAlignment="1">
      <alignment vertical="center"/>
    </xf>
    <xf numFmtId="0" fontId="41" fillId="0" borderId="22" xfId="4" applyFont="1" applyBorder="1" applyAlignment="1">
      <alignment vertical="center"/>
    </xf>
    <xf numFmtId="0" fontId="41" fillId="0" borderId="22" xfId="4" applyFont="1" applyBorder="1" applyAlignment="1">
      <alignment horizontal="center" vertical="center"/>
    </xf>
    <xf numFmtId="9" fontId="42" fillId="0" borderId="25" xfId="4" applyNumberFormat="1" applyFont="1" applyBorder="1" applyAlignment="1">
      <alignment horizontal="center" vertical="center" textRotation="90" wrapText="1"/>
    </xf>
    <xf numFmtId="9" fontId="42" fillId="0" borderId="99" xfId="4" applyNumberFormat="1" applyFont="1" applyBorder="1" applyAlignment="1">
      <alignment horizontal="center" vertical="center" textRotation="90" wrapText="1"/>
    </xf>
    <xf numFmtId="0" fontId="41" fillId="0" borderId="91" xfId="4" applyFont="1" applyBorder="1" applyAlignment="1">
      <alignment horizontal="center" vertical="center" textRotation="90" wrapText="1"/>
    </xf>
    <xf numFmtId="0" fontId="42" fillId="0" borderId="91" xfId="4" applyFont="1" applyBorder="1" applyAlignment="1">
      <alignment horizontal="center" vertical="center" textRotation="90" wrapText="1"/>
    </xf>
    <xf numFmtId="0" fontId="42" fillId="0" borderId="22" xfId="4" applyFont="1" applyBorder="1" applyAlignment="1">
      <alignment horizontal="center" vertical="center"/>
    </xf>
    <xf numFmtId="0" fontId="42" fillId="0" borderId="22" xfId="4" applyFont="1" applyBorder="1" applyAlignment="1">
      <alignment horizontal="center" vertical="center" wrapText="1"/>
    </xf>
    <xf numFmtId="0" fontId="44" fillId="0" borderId="65" xfId="4" applyFont="1" applyBorder="1" applyAlignment="1">
      <alignment horizontal="center" vertical="center" textRotation="90"/>
    </xf>
    <xf numFmtId="0" fontId="44" fillId="0" borderId="6" xfId="4" applyFont="1" applyBorder="1" applyAlignment="1">
      <alignment horizontal="center" vertical="center"/>
    </xf>
    <xf numFmtId="0" fontId="43" fillId="0" borderId="85" xfId="4" applyFont="1" applyBorder="1" applyAlignment="1">
      <alignment horizontal="center" vertical="center"/>
    </xf>
    <xf numFmtId="0" fontId="43" fillId="0" borderId="5" xfId="4" applyFont="1" applyBorder="1" applyAlignment="1">
      <alignment horizontal="center" vertical="center"/>
    </xf>
    <xf numFmtId="0" fontId="43" fillId="0" borderId="96" xfId="4" applyFont="1" applyBorder="1" applyAlignment="1">
      <alignment horizontal="center" vertical="center"/>
    </xf>
    <xf numFmtId="0" fontId="41" fillId="0" borderId="96" xfId="4" applyFont="1" applyBorder="1"/>
    <xf numFmtId="0" fontId="42" fillId="0" borderId="95" xfId="4" applyFont="1" applyBorder="1" applyAlignment="1">
      <alignment horizontal="center"/>
    </xf>
    <xf numFmtId="0" fontId="41" fillId="0" borderId="95" xfId="4" applyFont="1" applyBorder="1"/>
    <xf numFmtId="0" fontId="41" fillId="0" borderId="94" xfId="4" applyFont="1" applyBorder="1" applyAlignment="1">
      <alignment horizontal="center"/>
    </xf>
    <xf numFmtId="0" fontId="36" fillId="0" borderId="56" xfId="4" applyFont="1" applyBorder="1"/>
    <xf numFmtId="0" fontId="38" fillId="0" borderId="56" xfId="4" applyFont="1" applyBorder="1" applyAlignment="1">
      <alignment horizontal="center"/>
    </xf>
    <xf numFmtId="0" fontId="38" fillId="0" borderId="0" xfId="4" applyFont="1" applyAlignment="1">
      <alignment horizontal="centerContinuous"/>
    </xf>
    <xf numFmtId="0" fontId="38" fillId="0" borderId="0" xfId="4" applyFont="1" applyAlignment="1">
      <alignment vertical="center"/>
    </xf>
    <xf numFmtId="0" fontId="39" fillId="0" borderId="0" xfId="4" applyFont="1" applyAlignment="1">
      <alignment horizontal="left"/>
    </xf>
    <xf numFmtId="0" fontId="38" fillId="0" borderId="0" xfId="4" applyFont="1" applyAlignment="1">
      <alignment horizontal="left"/>
    </xf>
    <xf numFmtId="0" fontId="37" fillId="0" borderId="0" xfId="4" applyFont="1"/>
    <xf numFmtId="1" fontId="36" fillId="0" borderId="0" xfId="4" applyNumberFormat="1" applyFont="1"/>
    <xf numFmtId="0" fontId="35" fillId="0" borderId="0" xfId="4" applyFont="1" applyAlignment="1">
      <alignment vertical="center"/>
    </xf>
    <xf numFmtId="0" fontId="35" fillId="0" borderId="0" xfId="4" applyFont="1" applyAlignment="1">
      <alignment horizontal="right" vertical="center"/>
    </xf>
    <xf numFmtId="0" fontId="32" fillId="0" borderId="0" xfId="4" applyFont="1"/>
    <xf numFmtId="0" fontId="33" fillId="0" borderId="0" xfId="4" applyFont="1" applyAlignment="1">
      <alignment horizontal="center" vertical="center" wrapText="1"/>
    </xf>
    <xf numFmtId="0" fontId="41" fillId="0" borderId="22" xfId="4" applyFont="1" applyBorder="1" applyAlignment="1">
      <alignment horizontal="left" wrapText="1"/>
    </xf>
    <xf numFmtId="0" fontId="42" fillId="0" borderId="22" xfId="4" applyFont="1" applyBorder="1" applyAlignment="1">
      <alignment horizontal="left"/>
    </xf>
  </cellXfs>
  <cellStyles count="5">
    <cellStyle name="Hipersaite" xfId="2" builtinId="8"/>
    <cellStyle name="Normal_Sheet1" xfId="3" xr:uid="{D2AD0CD0-864A-C747-806A-2CD9F611209E}"/>
    <cellStyle name="Normal_tame 2010 gadam" xfId="1" xr:uid="{9F908E8D-A17B-354A-BD19-D104F304DB6E}"/>
    <cellStyle name="Parasts" xfId="0" builtinId="0"/>
    <cellStyle name="Parasts 2" xfId="4" xr:uid="{7A226ADD-1310-483C-855D-3F1E05FA140A}"/>
  </cellStyles>
  <dxfs count="0"/>
  <tableStyles count="0" defaultTableStyle="TableStyleMedium2" defaultPivotStyle="PivotStyleLight16"/>
  <colors>
    <mruColors>
      <color rgb="FF00B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likumi.lv/doc.php?id=1248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150E-C658-2744-9892-1021E3B96184}">
  <sheetPr>
    <pageSetUpPr fitToPage="1"/>
  </sheetPr>
  <dimension ref="A1:T104"/>
  <sheetViews>
    <sheetView zoomScale="60" zoomScaleNormal="60" workbookViewId="0">
      <pane xSplit="5" ySplit="4" topLeftCell="F62" activePane="bottomRight" state="frozen"/>
      <selection pane="topRight" activeCell="G1" sqref="G1"/>
      <selection pane="bottomLeft" activeCell="A7" sqref="A7"/>
      <selection pane="bottomRight" activeCell="C22" sqref="C22"/>
    </sheetView>
  </sheetViews>
  <sheetFormatPr defaultColWidth="9" defaultRowHeight="15.5" outlineLevelCol="1" x14ac:dyDescent="0.35"/>
  <cols>
    <col min="1" max="1" width="10" style="1" customWidth="1"/>
    <col min="2" max="2" width="69.1640625" style="3" customWidth="1"/>
    <col min="3" max="3" width="11.33203125" style="4" customWidth="1"/>
    <col min="4" max="4" width="11.83203125" style="4" customWidth="1"/>
    <col min="5" max="5" width="11.33203125" style="4" customWidth="1"/>
    <col min="6" max="17" width="11.83203125" style="88" customWidth="1" outlineLevel="1"/>
    <col min="18" max="16384" width="9" style="3"/>
  </cols>
  <sheetData>
    <row r="1" spans="1:20" x14ac:dyDescent="0.35">
      <c r="A1" s="470" t="s">
        <v>0</v>
      </c>
      <c r="B1" s="470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0" ht="16" thickBot="1" x14ac:dyDescent="0.4">
      <c r="A2" s="470" t="s">
        <v>474</v>
      </c>
      <c r="B2" s="470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0" s="11" customFormat="1" ht="32.25" customHeight="1" thickBot="1" x14ac:dyDescent="0.4">
      <c r="A3" s="471"/>
      <c r="B3" s="472"/>
      <c r="C3" s="8" t="s">
        <v>174</v>
      </c>
      <c r="D3" s="7" t="s">
        <v>469</v>
      </c>
      <c r="E3" s="8" t="s">
        <v>470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10" t="s">
        <v>12</v>
      </c>
    </row>
    <row r="4" spans="1:20" s="17" customFormat="1" ht="15" customHeight="1" thickBot="1" x14ac:dyDescent="0.35">
      <c r="A4" s="12"/>
      <c r="B4" s="13" t="s">
        <v>13</v>
      </c>
      <c r="C4" s="165"/>
      <c r="D4" s="135"/>
      <c r="E4" s="14">
        <v>18349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20" s="186" customFormat="1" ht="26" customHeight="1" thickBot="1" x14ac:dyDescent="0.4">
      <c r="A5" s="182">
        <v>1</v>
      </c>
      <c r="B5" s="183" t="s">
        <v>82</v>
      </c>
      <c r="C5" s="185">
        <f t="shared" ref="C5:Q5" si="0">C6+C16+C23+C30</f>
        <v>801241.99</v>
      </c>
      <c r="D5" s="184">
        <f>D6+D16+D23+D30</f>
        <v>674813</v>
      </c>
      <c r="E5" s="185">
        <f>E6+E16+E23+E30</f>
        <v>4451.3900000000003</v>
      </c>
      <c r="F5" s="189">
        <f t="shared" ref="F5:L5" si="1">F6+F16+F23+F30</f>
        <v>4451.3900000000003</v>
      </c>
      <c r="G5" s="189">
        <f t="shared" si="1"/>
        <v>0</v>
      </c>
      <c r="H5" s="189">
        <f t="shared" si="1"/>
        <v>0</v>
      </c>
      <c r="I5" s="189">
        <f t="shared" si="1"/>
        <v>0</v>
      </c>
      <c r="J5" s="189">
        <f t="shared" si="1"/>
        <v>0</v>
      </c>
      <c r="K5" s="189">
        <f t="shared" si="1"/>
        <v>0</v>
      </c>
      <c r="L5" s="189">
        <f t="shared" si="1"/>
        <v>0</v>
      </c>
      <c r="M5" s="189">
        <f t="shared" si="0"/>
        <v>0</v>
      </c>
      <c r="N5" s="189">
        <f t="shared" si="0"/>
        <v>0</v>
      </c>
      <c r="O5" s="189">
        <f t="shared" si="0"/>
        <v>0</v>
      </c>
      <c r="P5" s="189">
        <f t="shared" si="0"/>
        <v>0</v>
      </c>
      <c r="Q5" s="190">
        <f t="shared" si="0"/>
        <v>0</v>
      </c>
    </row>
    <row r="6" spans="1:20" s="25" customFormat="1" ht="16" thickBot="1" x14ac:dyDescent="0.4">
      <c r="A6" s="19" t="s">
        <v>14</v>
      </c>
      <c r="B6" s="20" t="s">
        <v>15</v>
      </c>
      <c r="C6" s="22">
        <f>SUM(C7:C15)</f>
        <v>111585</v>
      </c>
      <c r="D6" s="21">
        <f t="shared" ref="D6" si="2">SUM(D7:D15)</f>
        <v>0</v>
      </c>
      <c r="E6" s="22">
        <f>SUM(E7:E15)</f>
        <v>0</v>
      </c>
      <c r="F6" s="23">
        <f t="shared" ref="F6:Q6" si="3">SUM(F7:F15)</f>
        <v>0</v>
      </c>
      <c r="G6" s="23">
        <f t="shared" si="3"/>
        <v>0</v>
      </c>
      <c r="H6" s="23">
        <f t="shared" si="3"/>
        <v>0</v>
      </c>
      <c r="I6" s="23">
        <f t="shared" si="3"/>
        <v>0</v>
      </c>
      <c r="J6" s="23">
        <f>SUM(J7:J15)</f>
        <v>0</v>
      </c>
      <c r="K6" s="23">
        <f>SUM(K7:K15)</f>
        <v>0</v>
      </c>
      <c r="L6" s="23">
        <f>SUM(L7:L15)</f>
        <v>0</v>
      </c>
      <c r="M6" s="23">
        <f t="shared" si="3"/>
        <v>0</v>
      </c>
      <c r="N6" s="23">
        <f t="shared" si="3"/>
        <v>0</v>
      </c>
      <c r="O6" s="23">
        <f t="shared" si="3"/>
        <v>0</v>
      </c>
      <c r="P6" s="23">
        <f t="shared" si="3"/>
        <v>0</v>
      </c>
      <c r="Q6" s="24">
        <f t="shared" si="3"/>
        <v>0</v>
      </c>
    </row>
    <row r="7" spans="1:20" s="32" customFormat="1" ht="14" x14ac:dyDescent="0.3">
      <c r="A7" s="26" t="s">
        <v>16</v>
      </c>
      <c r="B7" s="27" t="s">
        <v>104</v>
      </c>
      <c r="C7" s="29">
        <v>71860</v>
      </c>
      <c r="D7" s="28"/>
      <c r="E7" s="29">
        <f>SUM(F7:Q7)</f>
        <v>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</row>
    <row r="8" spans="1:20" s="32" customFormat="1" ht="14" x14ac:dyDescent="0.3">
      <c r="A8" s="33" t="s">
        <v>17</v>
      </c>
      <c r="B8" s="27" t="s">
        <v>18</v>
      </c>
      <c r="C8" s="29">
        <v>0</v>
      </c>
      <c r="D8" s="28"/>
      <c r="E8" s="29">
        <f t="shared" ref="E8:E17" si="4">SUM(F8:Q8)</f>
        <v>0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34"/>
      <c r="S8" s="32">
        <v>111585</v>
      </c>
    </row>
    <row r="9" spans="1:20" s="32" customFormat="1" ht="14" x14ac:dyDescent="0.3">
      <c r="A9" s="33" t="s">
        <v>19</v>
      </c>
      <c r="B9" s="27" t="s">
        <v>114</v>
      </c>
      <c r="C9" s="29">
        <v>0</v>
      </c>
      <c r="D9" s="28"/>
      <c r="E9" s="29">
        <f>SUM(F9:Q9)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34"/>
      <c r="S9" s="32">
        <v>249276</v>
      </c>
    </row>
    <row r="10" spans="1:20" s="32" customFormat="1" ht="14" x14ac:dyDescent="0.3">
      <c r="A10" s="33" t="s">
        <v>20</v>
      </c>
      <c r="B10" s="27" t="s">
        <v>466</v>
      </c>
      <c r="C10" s="29">
        <v>1563</v>
      </c>
      <c r="D10" s="28"/>
      <c r="E10" s="29">
        <f t="shared" si="4"/>
        <v>0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34"/>
      <c r="S10" s="32">
        <v>118898</v>
      </c>
    </row>
    <row r="11" spans="1:20" s="32" customFormat="1" ht="14" x14ac:dyDescent="0.3">
      <c r="A11" s="33" t="s">
        <v>21</v>
      </c>
      <c r="B11" s="27" t="s">
        <v>105</v>
      </c>
      <c r="C11" s="29">
        <v>0</v>
      </c>
      <c r="D11" s="28"/>
      <c r="E11" s="29">
        <f t="shared" si="4"/>
        <v>0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34"/>
      <c r="S11" s="32">
        <v>65873</v>
      </c>
    </row>
    <row r="12" spans="1:20" s="32" customFormat="1" ht="14" x14ac:dyDescent="0.3">
      <c r="A12" s="33" t="s">
        <v>22</v>
      </c>
      <c r="B12" s="27" t="s">
        <v>108</v>
      </c>
      <c r="C12" s="29">
        <v>0</v>
      </c>
      <c r="D12" s="28"/>
      <c r="E12" s="29">
        <f t="shared" si="4"/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34"/>
      <c r="S12" s="32">
        <v>118161</v>
      </c>
    </row>
    <row r="13" spans="1:20" s="32" customFormat="1" ht="14" x14ac:dyDescent="0.3">
      <c r="A13" s="33" t="s">
        <v>23</v>
      </c>
      <c r="B13" s="138" t="s">
        <v>214</v>
      </c>
      <c r="C13" s="139">
        <v>4798</v>
      </c>
      <c r="D13" s="61"/>
      <c r="E13" s="139">
        <f>SUM(F13:Q13)</f>
        <v>0</v>
      </c>
      <c r="F13" s="140"/>
      <c r="G13" s="140"/>
      <c r="H13" s="140"/>
      <c r="I13" s="140"/>
      <c r="J13" s="140"/>
      <c r="K13" s="36"/>
      <c r="L13" s="36"/>
      <c r="M13" s="36"/>
      <c r="N13" s="36"/>
      <c r="O13" s="36"/>
      <c r="P13" s="36"/>
      <c r="Q13" s="37"/>
      <c r="S13" s="32">
        <v>87600</v>
      </c>
    </row>
    <row r="14" spans="1:20" s="32" customFormat="1" ht="14" x14ac:dyDescent="0.3">
      <c r="A14" s="33" t="s">
        <v>106</v>
      </c>
      <c r="B14" s="141" t="s">
        <v>107</v>
      </c>
      <c r="C14" s="143">
        <v>0</v>
      </c>
      <c r="D14" s="142"/>
      <c r="E14" s="143">
        <f t="shared" si="4"/>
        <v>0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37"/>
      <c r="S14" s="32">
        <v>49849</v>
      </c>
    </row>
    <row r="15" spans="1:20" s="32" customFormat="1" ht="14.5" thickBot="1" x14ac:dyDescent="0.35">
      <c r="A15" s="33" t="s">
        <v>110</v>
      </c>
      <c r="B15" s="141" t="s">
        <v>404</v>
      </c>
      <c r="C15" s="143">
        <v>33364</v>
      </c>
      <c r="D15" s="142"/>
      <c r="E15" s="143">
        <f t="shared" si="4"/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37"/>
      <c r="S15" s="32">
        <f>SUM(S8:S14)</f>
        <v>801242</v>
      </c>
      <c r="T15" s="32">
        <v>801242</v>
      </c>
    </row>
    <row r="16" spans="1:20" s="39" customFormat="1" ht="16.5" customHeight="1" thickBot="1" x14ac:dyDescent="0.35">
      <c r="A16" s="38" t="s">
        <v>24</v>
      </c>
      <c r="B16" s="20" t="s">
        <v>176</v>
      </c>
      <c r="C16" s="21">
        <f t="shared" ref="C16:L16" si="5">SUM(C17:C22)</f>
        <v>348779.5</v>
      </c>
      <c r="D16" s="21">
        <f t="shared" si="5"/>
        <v>471313</v>
      </c>
      <c r="E16" s="22">
        <f>SUM(E17:E22)</f>
        <v>800</v>
      </c>
      <c r="F16" s="23">
        <f t="shared" si="5"/>
        <v>800</v>
      </c>
      <c r="G16" s="23">
        <f t="shared" si="5"/>
        <v>0</v>
      </c>
      <c r="H16" s="23">
        <f t="shared" si="5"/>
        <v>0</v>
      </c>
      <c r="I16" s="23">
        <f t="shared" si="5"/>
        <v>0</v>
      </c>
      <c r="J16" s="23">
        <f t="shared" si="5"/>
        <v>0</v>
      </c>
      <c r="K16" s="23">
        <f t="shared" si="5"/>
        <v>0</v>
      </c>
      <c r="L16" s="23">
        <f t="shared" si="5"/>
        <v>0</v>
      </c>
      <c r="M16" s="23">
        <f t="shared" ref="M16" si="6">SUM(M17:M22)</f>
        <v>0</v>
      </c>
      <c r="N16" s="23">
        <f t="shared" ref="N16" si="7">SUM(N17:N22)</f>
        <v>0</v>
      </c>
      <c r="O16" s="23">
        <f t="shared" ref="O16:P16" si="8">SUM(O17:O22)</f>
        <v>0</v>
      </c>
      <c r="P16" s="23">
        <f t="shared" si="8"/>
        <v>0</v>
      </c>
      <c r="Q16" s="23">
        <f t="shared" ref="Q16" si="9">SUM(Q17:Q22)</f>
        <v>0</v>
      </c>
      <c r="T16" s="39">
        <f>T15-S15</f>
        <v>0</v>
      </c>
    </row>
    <row r="17" spans="1:17" s="32" customFormat="1" ht="14" x14ac:dyDescent="0.3">
      <c r="A17" s="144" t="s">
        <v>25</v>
      </c>
      <c r="B17" s="145" t="s">
        <v>710</v>
      </c>
      <c r="C17" s="159">
        <v>40000</v>
      </c>
      <c r="D17" s="344">
        <v>50000</v>
      </c>
      <c r="E17" s="292">
        <f t="shared" si="4"/>
        <v>0</v>
      </c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7"/>
    </row>
    <row r="18" spans="1:17" s="32" customFormat="1" ht="14" x14ac:dyDescent="0.3">
      <c r="A18" s="33" t="s">
        <v>109</v>
      </c>
      <c r="B18" s="172" t="s">
        <v>467</v>
      </c>
      <c r="C18" s="143">
        <v>25614</v>
      </c>
      <c r="D18" s="345"/>
      <c r="E18" s="293">
        <f t="shared" ref="E18:E19" si="10">SUM(F18:Q18)</f>
        <v>0</v>
      </c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34"/>
    </row>
    <row r="19" spans="1:17" s="32" customFormat="1" ht="14" x14ac:dyDescent="0.3">
      <c r="A19" s="33" t="s">
        <v>178</v>
      </c>
      <c r="B19" s="54" t="s">
        <v>119</v>
      </c>
      <c r="C19" s="29">
        <v>0</v>
      </c>
      <c r="D19" s="55"/>
      <c r="E19" s="29">
        <f t="shared" si="10"/>
        <v>0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34"/>
    </row>
    <row r="20" spans="1:17" s="45" customFormat="1" ht="14" x14ac:dyDescent="0.3">
      <c r="A20" s="33" t="s">
        <v>179</v>
      </c>
      <c r="B20" s="54" t="s">
        <v>120</v>
      </c>
      <c r="C20" s="29">
        <v>58379.5</v>
      </c>
      <c r="D20" s="55">
        <v>60000</v>
      </c>
      <c r="E20" s="29">
        <f>SUM(F20:Q20)</f>
        <v>800</v>
      </c>
      <c r="F20" s="140">
        <v>800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34"/>
    </row>
    <row r="21" spans="1:17" s="32" customFormat="1" ht="14" x14ac:dyDescent="0.3">
      <c r="A21" s="33" t="s">
        <v>180</v>
      </c>
      <c r="B21" s="60" t="s">
        <v>123</v>
      </c>
      <c r="C21" s="29">
        <v>41124</v>
      </c>
      <c r="D21" s="62"/>
      <c r="E21" s="29">
        <f>SUM(F21:Q21)</f>
        <v>0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34"/>
    </row>
    <row r="22" spans="1:17" s="32" customFormat="1" ht="14.5" thickBot="1" x14ac:dyDescent="0.35">
      <c r="A22" s="33" t="s">
        <v>227</v>
      </c>
      <c r="B22" s="60" t="s">
        <v>228</v>
      </c>
      <c r="C22" s="29">
        <v>183662</v>
      </c>
      <c r="D22" s="62">
        <v>361313</v>
      </c>
      <c r="E22" s="29">
        <f>SUM(F22:Q22)</f>
        <v>0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34"/>
    </row>
    <row r="23" spans="1:17" s="45" customFormat="1" ht="16.5" customHeight="1" thickBot="1" x14ac:dyDescent="0.35">
      <c r="A23" s="41" t="s">
        <v>26</v>
      </c>
      <c r="B23" s="42" t="s">
        <v>27</v>
      </c>
      <c r="C23" s="43">
        <f t="shared" ref="C23:Q23" si="11">SUM(C24:C29)</f>
        <v>118897.92</v>
      </c>
      <c r="D23" s="43">
        <f t="shared" si="11"/>
        <v>0</v>
      </c>
      <c r="E23" s="43">
        <f>SUM(E24:E29)</f>
        <v>2011.39</v>
      </c>
      <c r="F23" s="44">
        <f>SUM(F24:F29)</f>
        <v>2011.39</v>
      </c>
      <c r="G23" s="23">
        <f t="shared" si="11"/>
        <v>0</v>
      </c>
      <c r="H23" s="23">
        <f t="shared" si="11"/>
        <v>0</v>
      </c>
      <c r="I23" s="23">
        <f t="shared" si="11"/>
        <v>0</v>
      </c>
      <c r="J23" s="23">
        <f t="shared" si="11"/>
        <v>0</v>
      </c>
      <c r="K23" s="23">
        <f t="shared" si="11"/>
        <v>0</v>
      </c>
      <c r="L23" s="23">
        <f>SUM(L24:L29)</f>
        <v>0</v>
      </c>
      <c r="M23" s="23">
        <f t="shared" si="11"/>
        <v>0</v>
      </c>
      <c r="N23" s="23">
        <f t="shared" si="11"/>
        <v>0</v>
      </c>
      <c r="O23" s="23">
        <f t="shared" si="11"/>
        <v>0</v>
      </c>
      <c r="P23" s="23">
        <f t="shared" si="11"/>
        <v>0</v>
      </c>
      <c r="Q23" s="24">
        <f t="shared" si="11"/>
        <v>0</v>
      </c>
    </row>
    <row r="24" spans="1:17" s="32" customFormat="1" ht="14" x14ac:dyDescent="0.3">
      <c r="A24" s="46" t="s">
        <v>28</v>
      </c>
      <c r="B24" s="27" t="s">
        <v>98</v>
      </c>
      <c r="C24" s="29">
        <v>12000</v>
      </c>
      <c r="D24" s="28"/>
      <c r="E24" s="29">
        <f>SUM(F24:Q24)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</row>
    <row r="25" spans="1:17" s="32" customFormat="1" ht="14" x14ac:dyDescent="0.3">
      <c r="A25" s="47" t="s">
        <v>29</v>
      </c>
      <c r="B25" s="48" t="s">
        <v>99</v>
      </c>
      <c r="C25" s="29">
        <v>0</v>
      </c>
      <c r="D25" s="49"/>
      <c r="E25" s="29">
        <f t="shared" ref="E25" si="12">SUM(F25:Q25)</f>
        <v>0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34"/>
    </row>
    <row r="26" spans="1:17" s="32" customFormat="1" ht="14" x14ac:dyDescent="0.3">
      <c r="A26" s="47" t="s">
        <v>30</v>
      </c>
      <c r="B26" s="48" t="s">
        <v>97</v>
      </c>
      <c r="C26" s="29">
        <v>93851</v>
      </c>
      <c r="D26" s="49"/>
      <c r="E26" s="29">
        <f>SUM(F26:Q26)</f>
        <v>0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34"/>
    </row>
    <row r="27" spans="1:17" s="32" customFormat="1" ht="14" x14ac:dyDescent="0.3">
      <c r="A27" s="47" t="s">
        <v>31</v>
      </c>
      <c r="B27" s="48" t="s">
        <v>472</v>
      </c>
      <c r="C27" s="29">
        <v>10796.92</v>
      </c>
      <c r="D27" s="49"/>
      <c r="E27" s="29">
        <f>SUM(F27:Q27)</f>
        <v>2011.39</v>
      </c>
      <c r="F27" s="140">
        <v>2011.39</v>
      </c>
      <c r="G27" s="140"/>
      <c r="H27" s="140"/>
      <c r="I27" s="154"/>
      <c r="J27" s="140"/>
      <c r="K27" s="140"/>
      <c r="L27" s="140"/>
      <c r="M27" s="140"/>
      <c r="N27" s="140"/>
      <c r="O27" s="140"/>
      <c r="P27" s="140"/>
      <c r="Q27" s="34"/>
    </row>
    <row r="28" spans="1:17" s="32" customFormat="1" ht="14" x14ac:dyDescent="0.3">
      <c r="A28" s="50" t="s">
        <v>32</v>
      </c>
      <c r="B28" s="51" t="s">
        <v>33</v>
      </c>
      <c r="C28" s="194">
        <v>0</v>
      </c>
      <c r="D28" s="93"/>
      <c r="E28" s="156">
        <f t="shared" ref="E28" si="13">SUM(F28:Q28)</f>
        <v>0</v>
      </c>
      <c r="F28" s="36"/>
      <c r="G28" s="36"/>
      <c r="H28" s="36"/>
      <c r="I28" s="36"/>
      <c r="J28" s="36"/>
      <c r="K28" s="36"/>
      <c r="L28" s="36"/>
      <c r="M28" s="148"/>
      <c r="N28" s="36"/>
      <c r="O28" s="36"/>
      <c r="P28" s="36"/>
      <c r="Q28" s="37"/>
    </row>
    <row r="29" spans="1:17" s="32" customFormat="1" ht="14.5" thickBot="1" x14ac:dyDescent="0.35">
      <c r="A29" s="50" t="s">
        <v>225</v>
      </c>
      <c r="B29" s="51" t="s">
        <v>226</v>
      </c>
      <c r="C29" s="35">
        <v>2250</v>
      </c>
      <c r="D29" s="28"/>
      <c r="E29" s="35">
        <f>SUM(F29:Q29)</f>
        <v>0</v>
      </c>
      <c r="F29" s="36"/>
      <c r="G29" s="36"/>
      <c r="H29" s="36"/>
      <c r="I29" s="36"/>
      <c r="J29" s="36"/>
      <c r="K29" s="36"/>
      <c r="L29" s="36"/>
      <c r="M29" s="148"/>
      <c r="N29" s="36"/>
      <c r="O29" s="36"/>
      <c r="P29" s="36"/>
      <c r="Q29" s="37"/>
    </row>
    <row r="30" spans="1:17" s="39" customFormat="1" ht="16.5" customHeight="1" thickBot="1" x14ac:dyDescent="0.35">
      <c r="A30" s="38" t="s">
        <v>34</v>
      </c>
      <c r="B30" s="42" t="s">
        <v>35</v>
      </c>
      <c r="C30" s="136">
        <f t="shared" ref="C30:Q30" si="14">SUM(C31:C41)</f>
        <v>221979.57</v>
      </c>
      <c r="D30" s="136">
        <f t="shared" si="14"/>
        <v>203500</v>
      </c>
      <c r="E30" s="136">
        <f>SUM(E31:E41)</f>
        <v>1640</v>
      </c>
      <c r="F30" s="44">
        <f t="shared" si="14"/>
        <v>1640</v>
      </c>
      <c r="G30" s="44">
        <f>SUM(G31:G41)</f>
        <v>0</v>
      </c>
      <c r="H30" s="44">
        <f t="shared" si="14"/>
        <v>0</v>
      </c>
      <c r="I30" s="44">
        <f>SUM(I31:I41)</f>
        <v>0</v>
      </c>
      <c r="J30" s="44">
        <f>SUM(J31:J41)</f>
        <v>0</v>
      </c>
      <c r="K30" s="44">
        <f>SUM(K31:K41)</f>
        <v>0</v>
      </c>
      <c r="L30" s="44">
        <f>SUM(L31:L41)</f>
        <v>0</v>
      </c>
      <c r="M30" s="44">
        <f t="shared" si="14"/>
        <v>0</v>
      </c>
      <c r="N30" s="44">
        <f t="shared" si="14"/>
        <v>0</v>
      </c>
      <c r="O30" s="44">
        <f t="shared" si="14"/>
        <v>0</v>
      </c>
      <c r="P30" s="44">
        <f t="shared" si="14"/>
        <v>0</v>
      </c>
      <c r="Q30" s="44">
        <f t="shared" si="14"/>
        <v>0</v>
      </c>
    </row>
    <row r="31" spans="1:17" s="32" customFormat="1" ht="14" x14ac:dyDescent="0.3">
      <c r="A31" s="46" t="s">
        <v>36</v>
      </c>
      <c r="B31" s="52" t="s">
        <v>115</v>
      </c>
      <c r="C31" s="29">
        <v>48877.33</v>
      </c>
      <c r="D31" s="53">
        <v>24200</v>
      </c>
      <c r="E31" s="29">
        <f t="shared" ref="E31:E41" si="15">SUM(F31:Q31)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</row>
    <row r="32" spans="1:17" s="32" customFormat="1" ht="14" x14ac:dyDescent="0.3">
      <c r="A32" s="46" t="s">
        <v>37</v>
      </c>
      <c r="B32" s="54" t="s">
        <v>38</v>
      </c>
      <c r="C32" s="29">
        <v>5440</v>
      </c>
      <c r="D32" s="55">
        <v>5300</v>
      </c>
      <c r="E32" s="29">
        <f t="shared" si="15"/>
        <v>0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34"/>
    </row>
    <row r="33" spans="1:17" s="32" customFormat="1" ht="14" x14ac:dyDescent="0.3">
      <c r="A33" s="47" t="s">
        <v>39</v>
      </c>
      <c r="B33" s="56" t="s">
        <v>40</v>
      </c>
      <c r="C33" s="29">
        <v>29263.24</v>
      </c>
      <c r="D33" s="57">
        <v>30000</v>
      </c>
      <c r="E33" s="29">
        <f t="shared" si="15"/>
        <v>1490</v>
      </c>
      <c r="F33" s="140">
        <v>1490</v>
      </c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34"/>
    </row>
    <row r="34" spans="1:17" s="32" customFormat="1" ht="14" x14ac:dyDescent="0.3">
      <c r="A34" s="47" t="s">
        <v>41</v>
      </c>
      <c r="B34" s="54" t="s">
        <v>116</v>
      </c>
      <c r="C34" s="29">
        <v>5800</v>
      </c>
      <c r="D34" s="55">
        <v>6000</v>
      </c>
      <c r="E34" s="29">
        <f t="shared" si="15"/>
        <v>0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34"/>
    </row>
    <row r="35" spans="1:17" s="32" customFormat="1" ht="14" x14ac:dyDescent="0.3">
      <c r="A35" s="59" t="s">
        <v>42</v>
      </c>
      <c r="B35" s="54" t="s">
        <v>624</v>
      </c>
      <c r="C35" s="29">
        <v>1802.5</v>
      </c>
      <c r="D35" s="58">
        <v>2000</v>
      </c>
      <c r="E35" s="29">
        <f t="shared" si="15"/>
        <v>0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34"/>
    </row>
    <row r="36" spans="1:17" s="32" customFormat="1" ht="14" x14ac:dyDescent="0.3">
      <c r="A36" s="47" t="s">
        <v>43</v>
      </c>
      <c r="B36" s="54" t="s">
        <v>117</v>
      </c>
      <c r="C36" s="29">
        <v>9500</v>
      </c>
      <c r="D36" s="55">
        <v>16000</v>
      </c>
      <c r="E36" s="29">
        <f t="shared" si="15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34"/>
    </row>
    <row r="37" spans="1:17" s="32" customFormat="1" ht="14" x14ac:dyDescent="0.3">
      <c r="A37" s="47" t="s">
        <v>45</v>
      </c>
      <c r="B37" s="54" t="s">
        <v>118</v>
      </c>
      <c r="C37" s="29">
        <v>75752.5</v>
      </c>
      <c r="D37" s="55">
        <v>80000</v>
      </c>
      <c r="E37" s="29">
        <f t="shared" si="15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34"/>
    </row>
    <row r="38" spans="1:17" s="32" customFormat="1" ht="14" x14ac:dyDescent="0.3">
      <c r="A38" s="47" t="s">
        <v>177</v>
      </c>
      <c r="B38" s="54" t="s">
        <v>44</v>
      </c>
      <c r="C38" s="29">
        <v>250</v>
      </c>
      <c r="D38" s="55"/>
      <c r="E38" s="29">
        <f t="shared" si="15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34"/>
    </row>
    <row r="39" spans="1:17" s="45" customFormat="1" ht="14" x14ac:dyDescent="0.3">
      <c r="A39" s="149" t="s">
        <v>46</v>
      </c>
      <c r="B39" s="54" t="s">
        <v>121</v>
      </c>
      <c r="C39" s="29">
        <v>35382</v>
      </c>
      <c r="D39" s="55">
        <v>25000</v>
      </c>
      <c r="E39" s="29">
        <f t="shared" si="15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34"/>
    </row>
    <row r="40" spans="1:17" s="32" customFormat="1" ht="14" x14ac:dyDescent="0.3">
      <c r="A40" s="149" t="s">
        <v>47</v>
      </c>
      <c r="B40" s="54" t="s">
        <v>122</v>
      </c>
      <c r="C40" s="29">
        <v>9912</v>
      </c>
      <c r="D40" s="55">
        <v>15000</v>
      </c>
      <c r="E40" s="29">
        <f t="shared" si="15"/>
        <v>150</v>
      </c>
      <c r="F40" s="140">
        <v>150</v>
      </c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34"/>
    </row>
    <row r="41" spans="1:17" s="152" customFormat="1" ht="14.5" thickBot="1" x14ac:dyDescent="0.35">
      <c r="A41" s="149"/>
      <c r="B41" s="150"/>
      <c r="C41" s="29">
        <v>0</v>
      </c>
      <c r="D41" s="151"/>
      <c r="E41" s="29">
        <f t="shared" si="15"/>
        <v>0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</row>
    <row r="42" spans="1:17" s="67" customFormat="1" ht="21" customHeight="1" thickBot="1" x14ac:dyDescent="0.4">
      <c r="A42" s="65">
        <v>2</v>
      </c>
      <c r="B42" s="66" t="s">
        <v>81</v>
      </c>
      <c r="C42" s="18">
        <f t="shared" ref="C42:Q42" si="16">C43+C49+C55</f>
        <v>426257.30000000005</v>
      </c>
      <c r="D42" s="18">
        <f>D43+D49+D55</f>
        <v>672813</v>
      </c>
      <c r="E42" s="18">
        <f>E43+E49+E55</f>
        <v>13990.26</v>
      </c>
      <c r="F42" s="18">
        <f t="shared" si="16"/>
        <v>13990.26</v>
      </c>
      <c r="G42" s="18">
        <f t="shared" si="16"/>
        <v>0</v>
      </c>
      <c r="H42" s="18">
        <f t="shared" si="16"/>
        <v>0</v>
      </c>
      <c r="I42" s="18">
        <f t="shared" si="16"/>
        <v>0</v>
      </c>
      <c r="J42" s="18">
        <f>J43+J49+J55</f>
        <v>0</v>
      </c>
      <c r="K42" s="18">
        <f>K43+K49+K55</f>
        <v>0</v>
      </c>
      <c r="L42" s="18">
        <f t="shared" si="16"/>
        <v>0</v>
      </c>
      <c r="M42" s="18">
        <f t="shared" si="16"/>
        <v>0</v>
      </c>
      <c r="N42" s="18">
        <f t="shared" si="16"/>
        <v>0</v>
      </c>
      <c r="O42" s="18">
        <f t="shared" si="16"/>
        <v>0</v>
      </c>
      <c r="P42" s="18">
        <f t="shared" si="16"/>
        <v>0</v>
      </c>
      <c r="Q42" s="18">
        <f t="shared" si="16"/>
        <v>0</v>
      </c>
    </row>
    <row r="43" spans="1:17" s="74" customFormat="1" ht="16.5" customHeight="1" thickBot="1" x14ac:dyDescent="0.4">
      <c r="A43" s="68" t="s">
        <v>48</v>
      </c>
      <c r="B43" s="69" t="s">
        <v>133</v>
      </c>
      <c r="C43" s="71">
        <f t="shared" ref="C43:Q43" si="17">SUM(C44:C48)</f>
        <v>141074.32</v>
      </c>
      <c r="D43" s="71">
        <f t="shared" si="17"/>
        <v>193727</v>
      </c>
      <c r="E43" s="71">
        <f>SUM(E44:E48)</f>
        <v>164.78</v>
      </c>
      <c r="F43" s="72">
        <f t="shared" si="17"/>
        <v>164.78</v>
      </c>
      <c r="G43" s="72">
        <f t="shared" si="17"/>
        <v>0</v>
      </c>
      <c r="H43" s="72">
        <f t="shared" si="17"/>
        <v>0</v>
      </c>
      <c r="I43" s="72">
        <f t="shared" si="17"/>
        <v>0</v>
      </c>
      <c r="J43" s="72">
        <f>SUM(J44:J48)</f>
        <v>0</v>
      </c>
      <c r="K43" s="72">
        <f>SUM(K44:K48)</f>
        <v>0</v>
      </c>
      <c r="L43" s="72">
        <f t="shared" si="17"/>
        <v>0</v>
      </c>
      <c r="M43" s="72">
        <f t="shared" si="17"/>
        <v>0</v>
      </c>
      <c r="N43" s="72">
        <f t="shared" si="17"/>
        <v>0</v>
      </c>
      <c r="O43" s="72">
        <f t="shared" si="17"/>
        <v>0</v>
      </c>
      <c r="P43" s="72">
        <f t="shared" si="17"/>
        <v>0</v>
      </c>
      <c r="Q43" s="73">
        <f t="shared" si="17"/>
        <v>0</v>
      </c>
    </row>
    <row r="44" spans="1:17" s="32" customFormat="1" ht="14" x14ac:dyDescent="0.3">
      <c r="A44" s="46" t="s">
        <v>49</v>
      </c>
      <c r="B44" s="27" t="s">
        <v>50</v>
      </c>
      <c r="C44" s="29">
        <v>48995.3</v>
      </c>
      <c r="D44" s="28">
        <v>101169</v>
      </c>
      <c r="E44" s="29">
        <f>SUM(F44:Q44)</f>
        <v>0</v>
      </c>
      <c r="F44" s="30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31"/>
    </row>
    <row r="45" spans="1:17" s="32" customFormat="1" ht="14" x14ac:dyDescent="0.3">
      <c r="A45" s="46" t="s">
        <v>51</v>
      </c>
      <c r="B45" s="27" t="s">
        <v>129</v>
      </c>
      <c r="C45" s="29">
        <v>18139.989999999998</v>
      </c>
      <c r="D45" s="28"/>
      <c r="E45" s="29">
        <f>SUM(F45:Q45)</f>
        <v>0</v>
      </c>
      <c r="F45" s="30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31"/>
    </row>
    <row r="46" spans="1:17" s="74" customFormat="1" ht="14.5" x14ac:dyDescent="0.35">
      <c r="A46" s="46" t="s">
        <v>112</v>
      </c>
      <c r="B46" s="52" t="s">
        <v>55</v>
      </c>
      <c r="C46" s="29">
        <v>30519.45</v>
      </c>
      <c r="D46" s="28">
        <v>43358</v>
      </c>
      <c r="E46" s="29">
        <f>SUM(F46:Q46)</f>
        <v>164.78</v>
      </c>
      <c r="F46" s="30">
        <v>164.78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31"/>
    </row>
    <row r="47" spans="1:17" s="32" customFormat="1" ht="14" x14ac:dyDescent="0.3">
      <c r="A47" s="46" t="s">
        <v>113</v>
      </c>
      <c r="B47" s="27" t="s">
        <v>124</v>
      </c>
      <c r="C47" s="29">
        <v>12471.58</v>
      </c>
      <c r="D47" s="28">
        <v>15000</v>
      </c>
      <c r="E47" s="29">
        <f>SUM(F47:Q47)</f>
        <v>0</v>
      </c>
      <c r="F47" s="30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34"/>
    </row>
    <row r="48" spans="1:17" s="32" customFormat="1" ht="14.5" thickBot="1" x14ac:dyDescent="0.35">
      <c r="A48" s="46" t="s">
        <v>211</v>
      </c>
      <c r="B48" s="27" t="s">
        <v>212</v>
      </c>
      <c r="C48" s="29">
        <v>30948</v>
      </c>
      <c r="D48" s="28">
        <v>34200</v>
      </c>
      <c r="E48" s="29">
        <f>SUM(F48:Q48)</f>
        <v>0</v>
      </c>
      <c r="F48" s="30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34"/>
    </row>
    <row r="49" spans="1:17" s="74" customFormat="1" ht="16.5" customHeight="1" thickBot="1" x14ac:dyDescent="0.4">
      <c r="A49" s="68" t="s">
        <v>53</v>
      </c>
      <c r="B49" s="69" t="s">
        <v>134</v>
      </c>
      <c r="C49" s="71">
        <f t="shared" ref="C49:Q49" si="18">SUM(C50:C54)</f>
        <v>202498.45</v>
      </c>
      <c r="D49" s="70">
        <f t="shared" si="18"/>
        <v>369075</v>
      </c>
      <c r="E49" s="71">
        <f>SUM(E50:E54)</f>
        <v>9224.74</v>
      </c>
      <c r="F49" s="72">
        <f t="shared" si="18"/>
        <v>9224.74</v>
      </c>
      <c r="G49" s="155">
        <f t="shared" si="18"/>
        <v>0</v>
      </c>
      <c r="H49" s="155">
        <f t="shared" si="18"/>
        <v>0</v>
      </c>
      <c r="I49" s="155">
        <f t="shared" si="18"/>
        <v>0</v>
      </c>
      <c r="J49" s="155">
        <f>SUM(J50:J54)</f>
        <v>0</v>
      </c>
      <c r="K49" s="155">
        <f>SUM(K50:K54)</f>
        <v>0</v>
      </c>
      <c r="L49" s="155">
        <f t="shared" si="18"/>
        <v>0</v>
      </c>
      <c r="M49" s="155">
        <f t="shared" si="18"/>
        <v>0</v>
      </c>
      <c r="N49" s="155">
        <f t="shared" si="18"/>
        <v>0</v>
      </c>
      <c r="O49" s="155">
        <f t="shared" si="18"/>
        <v>0</v>
      </c>
      <c r="P49" s="155">
        <f t="shared" si="18"/>
        <v>0</v>
      </c>
      <c r="Q49" s="73">
        <f t="shared" si="18"/>
        <v>0</v>
      </c>
    </row>
    <row r="50" spans="1:17" s="32" customFormat="1" ht="14" x14ac:dyDescent="0.3">
      <c r="A50" s="47" t="s">
        <v>54</v>
      </c>
      <c r="B50" s="48" t="s">
        <v>103</v>
      </c>
      <c r="C50" s="29">
        <v>50472</v>
      </c>
      <c r="D50" s="49">
        <v>90255</v>
      </c>
      <c r="E50" s="29">
        <f>SUM(F50:Q50)</f>
        <v>0</v>
      </c>
      <c r="F50" s="140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34"/>
    </row>
    <row r="51" spans="1:17" s="32" customFormat="1" ht="14" x14ac:dyDescent="0.3">
      <c r="A51" s="59" t="s">
        <v>56</v>
      </c>
      <c r="B51" s="27" t="s">
        <v>130</v>
      </c>
      <c r="C51" s="29">
        <v>30302</v>
      </c>
      <c r="D51" s="28"/>
      <c r="E51" s="29">
        <f>SUM(F51:Q51)</f>
        <v>0</v>
      </c>
      <c r="F51" s="30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31"/>
    </row>
    <row r="52" spans="1:17" s="74" customFormat="1" ht="14.5" x14ac:dyDescent="0.35">
      <c r="A52" s="47" t="s">
        <v>126</v>
      </c>
      <c r="B52" s="54" t="s">
        <v>135</v>
      </c>
      <c r="C52" s="29">
        <v>90885.77</v>
      </c>
      <c r="D52" s="49">
        <v>148820</v>
      </c>
      <c r="E52" s="29">
        <f>SUM(F52:Q52)</f>
        <v>500</v>
      </c>
      <c r="F52" s="140">
        <v>500</v>
      </c>
      <c r="G52" s="154"/>
      <c r="H52" s="154"/>
      <c r="I52" s="154"/>
      <c r="J52" s="154"/>
      <c r="K52" s="154"/>
      <c r="L52" s="154"/>
      <c r="M52" s="154"/>
      <c r="N52" s="154"/>
      <c r="O52" s="153"/>
      <c r="P52" s="154"/>
      <c r="Q52" s="34"/>
    </row>
    <row r="53" spans="1:17" s="32" customFormat="1" ht="14" x14ac:dyDescent="0.3">
      <c r="A53" s="47" t="s">
        <v>57</v>
      </c>
      <c r="B53" s="27" t="s">
        <v>125</v>
      </c>
      <c r="C53" s="29">
        <v>365.68</v>
      </c>
      <c r="D53" s="28">
        <v>50000</v>
      </c>
      <c r="E53" s="29">
        <f>SUM(F53:Q53)</f>
        <v>7424.74</v>
      </c>
      <c r="F53" s="174">
        <f>7335.54+89.2</f>
        <v>7424.74</v>
      </c>
      <c r="G53" s="30"/>
      <c r="H53" s="153"/>
      <c r="I53" s="153"/>
      <c r="J53" s="153"/>
      <c r="K53" s="153"/>
      <c r="L53" s="153"/>
      <c r="M53" s="153"/>
      <c r="N53" s="153"/>
      <c r="O53" s="153"/>
      <c r="P53" s="153"/>
      <c r="Q53" s="31"/>
    </row>
    <row r="54" spans="1:17" s="74" customFormat="1" ht="15" thickBot="1" x14ac:dyDescent="0.4">
      <c r="A54" s="59" t="s">
        <v>137</v>
      </c>
      <c r="B54" s="60" t="s">
        <v>136</v>
      </c>
      <c r="C54" s="156">
        <v>30473</v>
      </c>
      <c r="D54" s="93">
        <v>80000</v>
      </c>
      <c r="E54" s="156">
        <f>SUM(F54:Q54)</f>
        <v>1300</v>
      </c>
      <c r="F54" s="30">
        <v>1300</v>
      </c>
      <c r="G54" s="36"/>
      <c r="H54" s="148"/>
      <c r="I54" s="148"/>
      <c r="J54" s="148"/>
      <c r="K54" s="148"/>
      <c r="L54" s="148"/>
      <c r="M54" s="148"/>
      <c r="N54" s="148"/>
      <c r="O54" s="148"/>
      <c r="P54" s="148"/>
      <c r="Q54" s="37"/>
    </row>
    <row r="55" spans="1:17" s="32" customFormat="1" ht="16.5" customHeight="1" thickBot="1" x14ac:dyDescent="0.35">
      <c r="A55" s="68" t="s">
        <v>58</v>
      </c>
      <c r="B55" s="69" t="s">
        <v>79</v>
      </c>
      <c r="C55" s="71">
        <f t="shared" ref="C55:Q55" si="19">C56+C71+C79</f>
        <v>82684.53</v>
      </c>
      <c r="D55" s="71">
        <f t="shared" si="19"/>
        <v>110011</v>
      </c>
      <c r="E55" s="71">
        <f t="shared" si="19"/>
        <v>4600.74</v>
      </c>
      <c r="F55" s="179">
        <f t="shared" si="19"/>
        <v>4600.74</v>
      </c>
      <c r="G55" s="180">
        <f t="shared" si="19"/>
        <v>0</v>
      </c>
      <c r="H55" s="180">
        <f t="shared" si="19"/>
        <v>0</v>
      </c>
      <c r="I55" s="180">
        <f t="shared" si="19"/>
        <v>0</v>
      </c>
      <c r="J55" s="180">
        <f>J56+J71+J79</f>
        <v>0</v>
      </c>
      <c r="K55" s="180">
        <f>K56+K71+K79</f>
        <v>0</v>
      </c>
      <c r="L55" s="180">
        <f>L56+L71+L79</f>
        <v>0</v>
      </c>
      <c r="M55" s="180">
        <f t="shared" si="19"/>
        <v>0</v>
      </c>
      <c r="N55" s="180">
        <f t="shared" si="19"/>
        <v>0</v>
      </c>
      <c r="O55" s="180">
        <f t="shared" si="19"/>
        <v>0</v>
      </c>
      <c r="P55" s="180">
        <f t="shared" si="19"/>
        <v>0</v>
      </c>
      <c r="Q55" s="181">
        <f t="shared" si="19"/>
        <v>0</v>
      </c>
    </row>
    <row r="56" spans="1:17" s="32" customFormat="1" ht="16.5" customHeight="1" thickBot="1" x14ac:dyDescent="0.4">
      <c r="A56" s="68" t="s">
        <v>60</v>
      </c>
      <c r="B56" s="69" t="s">
        <v>59</v>
      </c>
      <c r="C56" s="71">
        <f t="shared" ref="C56:Q56" si="20">SUM(C57:C70)</f>
        <v>24392.399999999998</v>
      </c>
      <c r="D56" s="71">
        <f t="shared" si="20"/>
        <v>31085</v>
      </c>
      <c r="E56" s="71">
        <f t="shared" si="20"/>
        <v>3139.2</v>
      </c>
      <c r="F56" s="175">
        <f t="shared" si="20"/>
        <v>3139.2</v>
      </c>
      <c r="G56" s="176">
        <f t="shared" si="20"/>
        <v>0</v>
      </c>
      <c r="H56" s="176">
        <f t="shared" si="20"/>
        <v>0</v>
      </c>
      <c r="I56" s="177">
        <f t="shared" si="20"/>
        <v>0</v>
      </c>
      <c r="J56" s="176">
        <f>SUM(J57:J70)</f>
        <v>0</v>
      </c>
      <c r="K56" s="177">
        <f>SUM(K57:K70)</f>
        <v>0</v>
      </c>
      <c r="L56" s="176">
        <f t="shared" si="20"/>
        <v>0</v>
      </c>
      <c r="M56" s="177">
        <f t="shared" si="20"/>
        <v>0</v>
      </c>
      <c r="N56" s="176">
        <f t="shared" si="20"/>
        <v>0</v>
      </c>
      <c r="O56" s="177">
        <f t="shared" si="20"/>
        <v>0</v>
      </c>
      <c r="P56" s="176">
        <f t="shared" si="20"/>
        <v>0</v>
      </c>
      <c r="Q56" s="178">
        <f t="shared" si="20"/>
        <v>0</v>
      </c>
    </row>
    <row r="57" spans="1:17" s="32" customFormat="1" ht="14" x14ac:dyDescent="0.3">
      <c r="A57" s="46" t="s">
        <v>186</v>
      </c>
      <c r="B57" s="52" t="s">
        <v>85</v>
      </c>
      <c r="C57" s="29">
        <v>6520.0600000000013</v>
      </c>
      <c r="D57" s="28">
        <v>7000</v>
      </c>
      <c r="E57" s="29">
        <f>SUM(F57:Q57)</f>
        <v>1201.82</v>
      </c>
      <c r="F57" s="30">
        <v>1201.82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</row>
    <row r="58" spans="1:17" s="32" customFormat="1" ht="14" x14ac:dyDescent="0.3">
      <c r="A58" s="47" t="s">
        <v>187</v>
      </c>
      <c r="B58" s="54" t="s">
        <v>78</v>
      </c>
      <c r="C58" s="29">
        <v>1125.0099999999998</v>
      </c>
      <c r="D58" s="49">
        <v>1125</v>
      </c>
      <c r="E58" s="29">
        <f t="shared" ref="E58:E70" si="21">SUM(F58:Q58)</f>
        <v>0</v>
      </c>
      <c r="F58" s="140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34"/>
    </row>
    <row r="59" spans="1:17" s="32" customFormat="1" ht="14" x14ac:dyDescent="0.3">
      <c r="A59" s="47" t="s">
        <v>188</v>
      </c>
      <c r="B59" s="54" t="s">
        <v>403</v>
      </c>
      <c r="C59" s="29">
        <v>1045.54</v>
      </c>
      <c r="D59" s="49">
        <v>1100</v>
      </c>
      <c r="E59" s="29">
        <f t="shared" si="21"/>
        <v>0</v>
      </c>
      <c r="F59" s="140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34"/>
    </row>
    <row r="60" spans="1:17" s="32" customFormat="1" ht="14" x14ac:dyDescent="0.3">
      <c r="A60" s="47" t="s">
        <v>189</v>
      </c>
      <c r="B60" s="54" t="s">
        <v>63</v>
      </c>
      <c r="C60" s="29">
        <v>470.81</v>
      </c>
      <c r="D60" s="49">
        <v>550</v>
      </c>
      <c r="E60" s="29">
        <f t="shared" si="21"/>
        <v>24.2</v>
      </c>
      <c r="F60" s="140">
        <v>24.2</v>
      </c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34"/>
    </row>
    <row r="61" spans="1:17" s="32" customFormat="1" ht="14" x14ac:dyDescent="0.3">
      <c r="A61" s="47" t="s">
        <v>190</v>
      </c>
      <c r="B61" s="54" t="s">
        <v>83</v>
      </c>
      <c r="C61" s="29">
        <v>341.17</v>
      </c>
      <c r="D61" s="49">
        <f>50*12</f>
        <v>600</v>
      </c>
      <c r="E61" s="29">
        <f t="shared" si="21"/>
        <v>45.07</v>
      </c>
      <c r="F61" s="140">
        <f>23.57+21.5</f>
        <v>45.07</v>
      </c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34"/>
    </row>
    <row r="62" spans="1:17" s="32" customFormat="1" ht="14" x14ac:dyDescent="0.3">
      <c r="A62" s="47" t="s">
        <v>191</v>
      </c>
      <c r="B62" s="54" t="s">
        <v>84</v>
      </c>
      <c r="C62" s="29">
        <v>0</v>
      </c>
      <c r="D62" s="49"/>
      <c r="E62" s="29">
        <f t="shared" si="21"/>
        <v>0</v>
      </c>
      <c r="F62" s="140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34"/>
    </row>
    <row r="63" spans="1:17" s="32" customFormat="1" ht="14" x14ac:dyDescent="0.3">
      <c r="A63" s="47" t="s">
        <v>192</v>
      </c>
      <c r="B63" s="54" t="s">
        <v>64</v>
      </c>
      <c r="C63" s="29">
        <v>1089</v>
      </c>
      <c r="D63" s="49">
        <v>1210</v>
      </c>
      <c r="E63" s="29">
        <f t="shared" si="21"/>
        <v>605</v>
      </c>
      <c r="F63" s="140">
        <v>605</v>
      </c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34"/>
    </row>
    <row r="64" spans="1:17" s="32" customFormat="1" ht="14" x14ac:dyDescent="0.3">
      <c r="A64" s="47" t="s">
        <v>193</v>
      </c>
      <c r="B64" s="54" t="s">
        <v>224</v>
      </c>
      <c r="C64" s="29">
        <v>7371.4</v>
      </c>
      <c r="D64" s="49">
        <f>750*12</f>
        <v>9000</v>
      </c>
      <c r="E64" s="29">
        <f t="shared" si="21"/>
        <v>0</v>
      </c>
      <c r="F64" s="140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34"/>
    </row>
    <row r="65" spans="1:17" s="32" customFormat="1" ht="14" x14ac:dyDescent="0.3">
      <c r="A65" s="47" t="s">
        <v>194</v>
      </c>
      <c r="B65" s="54" t="s">
        <v>65</v>
      </c>
      <c r="C65" s="29">
        <v>233.35</v>
      </c>
      <c r="D65" s="49">
        <v>500</v>
      </c>
      <c r="E65" s="29">
        <f t="shared" si="21"/>
        <v>75.02</v>
      </c>
      <c r="F65" s="140">
        <v>75.02</v>
      </c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34"/>
    </row>
    <row r="66" spans="1:17" s="32" customFormat="1" ht="14" x14ac:dyDescent="0.3">
      <c r="A66" s="59" t="s">
        <v>195</v>
      </c>
      <c r="B66" s="54" t="s">
        <v>127</v>
      </c>
      <c r="C66" s="29">
        <v>0</v>
      </c>
      <c r="D66" s="49"/>
      <c r="E66" s="29">
        <f>SUM(F66:Q66)</f>
        <v>135</v>
      </c>
      <c r="F66" s="140">
        <v>135</v>
      </c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7"/>
    </row>
    <row r="67" spans="1:17" s="32" customFormat="1" ht="14" x14ac:dyDescent="0.3">
      <c r="A67" s="59" t="s">
        <v>196</v>
      </c>
      <c r="B67" s="75" t="s">
        <v>66</v>
      </c>
      <c r="C67" s="29">
        <v>4750</v>
      </c>
      <c r="D67" s="76">
        <v>6000</v>
      </c>
      <c r="E67" s="29">
        <f t="shared" si="21"/>
        <v>0</v>
      </c>
      <c r="F67" s="158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77"/>
    </row>
    <row r="68" spans="1:17" s="32" customFormat="1" ht="14" x14ac:dyDescent="0.3">
      <c r="A68" s="47" t="s">
        <v>197</v>
      </c>
      <c r="B68" s="54" t="s">
        <v>175</v>
      </c>
      <c r="C68" s="29">
        <v>0</v>
      </c>
      <c r="D68" s="49"/>
      <c r="E68" s="29">
        <f>SUM(F68:Q68)</f>
        <v>0</v>
      </c>
      <c r="F68" s="140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34"/>
    </row>
    <row r="69" spans="1:17" s="32" customFormat="1" ht="14" x14ac:dyDescent="0.3">
      <c r="A69" s="59" t="s">
        <v>198</v>
      </c>
      <c r="B69" s="78" t="s">
        <v>67</v>
      </c>
      <c r="C69" s="29">
        <v>1446.06</v>
      </c>
      <c r="D69" s="79">
        <v>1500</v>
      </c>
      <c r="E69" s="29">
        <f t="shared" si="21"/>
        <v>0</v>
      </c>
      <c r="F69" s="158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77"/>
    </row>
    <row r="70" spans="1:17" s="32" customFormat="1" ht="14.5" thickBot="1" x14ac:dyDescent="0.35">
      <c r="A70" s="40" t="s">
        <v>199</v>
      </c>
      <c r="B70" s="80" t="s">
        <v>473</v>
      </c>
      <c r="C70" s="35">
        <v>0</v>
      </c>
      <c r="D70" s="81">
        <v>2500</v>
      </c>
      <c r="E70" s="35">
        <f t="shared" si="21"/>
        <v>1053.0899999999999</v>
      </c>
      <c r="F70" s="82">
        <v>1053.0899999999999</v>
      </c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83"/>
    </row>
    <row r="71" spans="1:17" s="74" customFormat="1" ht="16.5" customHeight="1" thickBot="1" x14ac:dyDescent="0.4">
      <c r="A71" s="68" t="s">
        <v>61</v>
      </c>
      <c r="B71" s="69" t="s">
        <v>68</v>
      </c>
      <c r="C71" s="71">
        <f t="shared" ref="C71" si="22">SUM(C72:C78)</f>
        <v>14504.130000000001</v>
      </c>
      <c r="D71" s="163">
        <f t="shared" ref="D71" si="23">SUM(D72:D78)</f>
        <v>13244</v>
      </c>
      <c r="E71" s="86">
        <f t="shared" ref="E71:Q71" si="24">SUM(E72:E78)</f>
        <v>1461.54</v>
      </c>
      <c r="F71" s="72">
        <f t="shared" si="24"/>
        <v>1461.54</v>
      </c>
      <c r="G71" s="155">
        <f t="shared" si="24"/>
        <v>0</v>
      </c>
      <c r="H71" s="155">
        <f t="shared" si="24"/>
        <v>0</v>
      </c>
      <c r="I71" s="155">
        <f t="shared" si="24"/>
        <v>0</v>
      </c>
      <c r="J71" s="155">
        <f>SUM(J72:J78)</f>
        <v>0</v>
      </c>
      <c r="K71" s="155">
        <f>SUM(K72:K78)</f>
        <v>0</v>
      </c>
      <c r="L71" s="155">
        <f t="shared" si="24"/>
        <v>0</v>
      </c>
      <c r="M71" s="155">
        <f t="shared" si="24"/>
        <v>0</v>
      </c>
      <c r="N71" s="155">
        <f t="shared" si="24"/>
        <v>0</v>
      </c>
      <c r="O71" s="155">
        <f t="shared" si="24"/>
        <v>0</v>
      </c>
      <c r="P71" s="155">
        <f t="shared" si="24"/>
        <v>0</v>
      </c>
      <c r="Q71" s="73">
        <f t="shared" si="24"/>
        <v>0</v>
      </c>
    </row>
    <row r="72" spans="1:17" s="32" customFormat="1" ht="14" x14ac:dyDescent="0.3">
      <c r="A72" s="46" t="s">
        <v>200</v>
      </c>
      <c r="B72" s="27" t="s">
        <v>69</v>
      </c>
      <c r="C72" s="29">
        <v>5000</v>
      </c>
      <c r="D72" s="347">
        <v>2900</v>
      </c>
      <c r="E72" s="162">
        <f>SUM(F72:Q72)</f>
        <v>0</v>
      </c>
      <c r="F72" s="30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31"/>
    </row>
    <row r="73" spans="1:17" s="32" customFormat="1" ht="14" x14ac:dyDescent="0.3">
      <c r="A73" s="46" t="s">
        <v>201</v>
      </c>
      <c r="B73" s="27" t="s">
        <v>70</v>
      </c>
      <c r="C73" s="29">
        <v>1991.77</v>
      </c>
      <c r="D73" s="347">
        <v>2300</v>
      </c>
      <c r="E73" s="162">
        <f t="shared" ref="E73:E78" si="25">SUM(F73:Q73)</f>
        <v>332.52</v>
      </c>
      <c r="F73" s="140">
        <v>332.52</v>
      </c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34"/>
    </row>
    <row r="74" spans="1:17" s="32" customFormat="1" ht="14" x14ac:dyDescent="0.3">
      <c r="A74" s="46" t="s">
        <v>202</v>
      </c>
      <c r="B74" s="48" t="s">
        <v>71</v>
      </c>
      <c r="C74" s="29">
        <v>0</v>
      </c>
      <c r="D74" s="348">
        <v>1500</v>
      </c>
      <c r="E74" s="162">
        <f t="shared" si="25"/>
        <v>300</v>
      </c>
      <c r="F74" s="140">
        <v>300</v>
      </c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34"/>
    </row>
    <row r="75" spans="1:17" s="45" customFormat="1" ht="14" collapsed="1" x14ac:dyDescent="0.3">
      <c r="A75" s="46" t="s">
        <v>203</v>
      </c>
      <c r="B75" s="48" t="s">
        <v>181</v>
      </c>
      <c r="C75" s="29">
        <v>1693</v>
      </c>
      <c r="D75" s="348">
        <v>1700</v>
      </c>
      <c r="E75" s="162">
        <f t="shared" si="25"/>
        <v>536.80999999999995</v>
      </c>
      <c r="F75" s="140">
        <f>386.81+150</f>
        <v>536.80999999999995</v>
      </c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34"/>
    </row>
    <row r="76" spans="1:17" s="45" customFormat="1" ht="14" x14ac:dyDescent="0.3">
      <c r="A76" s="46" t="s">
        <v>204</v>
      </c>
      <c r="B76" s="48" t="s">
        <v>128</v>
      </c>
      <c r="C76" s="29">
        <v>0</v>
      </c>
      <c r="D76" s="349">
        <v>300</v>
      </c>
      <c r="E76" s="162">
        <f t="shared" si="25"/>
        <v>0</v>
      </c>
      <c r="F76" s="140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34"/>
    </row>
    <row r="77" spans="1:17" s="45" customFormat="1" ht="14" collapsed="1" x14ac:dyDescent="0.3">
      <c r="A77" s="46" t="s">
        <v>205</v>
      </c>
      <c r="B77" s="48" t="s">
        <v>72</v>
      </c>
      <c r="C77" s="29">
        <v>3493.23</v>
      </c>
      <c r="D77" s="115">
        <f>292*7</f>
        <v>2044</v>
      </c>
      <c r="E77" s="162">
        <f>SUM(F77:Q77)</f>
        <v>292.20999999999998</v>
      </c>
      <c r="F77" s="140">
        <v>292.20999999999998</v>
      </c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</row>
    <row r="78" spans="1:17" s="32" customFormat="1" ht="14.5" thickBot="1" x14ac:dyDescent="0.35">
      <c r="A78" s="46" t="s">
        <v>206</v>
      </c>
      <c r="B78" s="51" t="s">
        <v>73</v>
      </c>
      <c r="C78" s="35">
        <v>2326.13</v>
      </c>
      <c r="D78" s="164">
        <v>2500</v>
      </c>
      <c r="E78" s="89">
        <f t="shared" si="25"/>
        <v>0</v>
      </c>
      <c r="F78" s="36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37"/>
    </row>
    <row r="79" spans="1:17" s="74" customFormat="1" ht="16.5" customHeight="1" thickBot="1" x14ac:dyDescent="0.4">
      <c r="A79" s="68" t="s">
        <v>62</v>
      </c>
      <c r="B79" s="84" t="s">
        <v>210</v>
      </c>
      <c r="C79" s="86">
        <f t="shared" ref="C79" si="26">SUM(C80:C82)</f>
        <v>43788</v>
      </c>
      <c r="D79" s="85">
        <f t="shared" ref="D79" si="27">SUM(D80:D82)</f>
        <v>65682</v>
      </c>
      <c r="E79" s="86">
        <f t="shared" ref="E79:Q79" si="28">SUM(E80:E82)</f>
        <v>0</v>
      </c>
      <c r="F79" s="72">
        <f t="shared" si="28"/>
        <v>0</v>
      </c>
      <c r="G79" s="155">
        <f t="shared" si="28"/>
        <v>0</v>
      </c>
      <c r="H79" s="155">
        <f t="shared" si="28"/>
        <v>0</v>
      </c>
      <c r="I79" s="155">
        <f t="shared" si="28"/>
        <v>0</v>
      </c>
      <c r="J79" s="155">
        <f>SUM(J80:J82)</f>
        <v>0</v>
      </c>
      <c r="K79" s="155">
        <f>SUM(K80:K82)</f>
        <v>0</v>
      </c>
      <c r="L79" s="155">
        <f t="shared" si="28"/>
        <v>0</v>
      </c>
      <c r="M79" s="72">
        <f t="shared" si="28"/>
        <v>0</v>
      </c>
      <c r="N79" s="72">
        <f t="shared" si="28"/>
        <v>0</v>
      </c>
      <c r="O79" s="155">
        <f t="shared" si="28"/>
        <v>0</v>
      </c>
      <c r="P79" s="155">
        <f t="shared" si="28"/>
        <v>0</v>
      </c>
      <c r="Q79" s="73">
        <f t="shared" si="28"/>
        <v>0</v>
      </c>
    </row>
    <row r="80" spans="1:17" s="32" customFormat="1" ht="14.5" thickBot="1" x14ac:dyDescent="0.35">
      <c r="A80" s="46" t="s">
        <v>207</v>
      </c>
      <c r="B80" s="27" t="s">
        <v>76</v>
      </c>
      <c r="C80" s="467">
        <v>43788</v>
      </c>
      <c r="D80" s="476">
        <f>43788*1.5</f>
        <v>65682</v>
      </c>
      <c r="E80" s="467">
        <f>SUM(F80:Q82)</f>
        <v>0</v>
      </c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/>
      <c r="Q80" s="473"/>
    </row>
    <row r="81" spans="1:17" s="32" customFormat="1" ht="14.5" thickBot="1" x14ac:dyDescent="0.35">
      <c r="A81" s="46" t="s">
        <v>208</v>
      </c>
      <c r="B81" s="48" t="s">
        <v>74</v>
      </c>
      <c r="C81" s="468">
        <f t="shared" ref="C81:E82" si="29">SUM(D81:O81)</f>
        <v>0</v>
      </c>
      <c r="D81" s="477"/>
      <c r="E81" s="468">
        <f t="shared" si="29"/>
        <v>0</v>
      </c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</row>
    <row r="82" spans="1:17" s="32" customFormat="1" ht="14.5" thickBot="1" x14ac:dyDescent="0.35">
      <c r="A82" s="46" t="s">
        <v>209</v>
      </c>
      <c r="B82" s="51" t="s">
        <v>75</v>
      </c>
      <c r="C82" s="469">
        <f t="shared" si="29"/>
        <v>0</v>
      </c>
      <c r="D82" s="478"/>
      <c r="E82" s="469">
        <f t="shared" si="29"/>
        <v>0</v>
      </c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</row>
    <row r="83" spans="1:17" s="87" customFormat="1" ht="14.5" thickBot="1" x14ac:dyDescent="0.35">
      <c r="A83" s="99"/>
      <c r="B83" s="100" t="s">
        <v>77</v>
      </c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</row>
    <row r="84" spans="1:17" s="32" customFormat="1" ht="19" customHeight="1" thickBot="1" x14ac:dyDescent="0.35">
      <c r="A84" s="94"/>
      <c r="B84" s="95"/>
      <c r="C84" s="166"/>
      <c r="D84" s="96"/>
      <c r="E84" s="97">
        <f>(E4+E5)-E42</f>
        <v>8810.1299999999992</v>
      </c>
      <c r="F84" s="97">
        <f t="shared" ref="F84:Q84" si="30">F4+F5-F42</f>
        <v>-9538.869999999999</v>
      </c>
      <c r="G84" s="97">
        <f t="shared" si="30"/>
        <v>0</v>
      </c>
      <c r="H84" s="97">
        <f t="shared" si="30"/>
        <v>0</v>
      </c>
      <c r="I84" s="97">
        <f t="shared" si="30"/>
        <v>0</v>
      </c>
      <c r="J84" s="97">
        <f t="shared" si="30"/>
        <v>0</v>
      </c>
      <c r="K84" s="97">
        <f t="shared" si="30"/>
        <v>0</v>
      </c>
      <c r="L84" s="97">
        <f t="shared" si="30"/>
        <v>0</v>
      </c>
      <c r="M84" s="97">
        <f t="shared" si="30"/>
        <v>0</v>
      </c>
      <c r="N84" s="97">
        <f t="shared" si="30"/>
        <v>0</v>
      </c>
      <c r="O84" s="97">
        <f t="shared" si="30"/>
        <v>0</v>
      </c>
      <c r="P84" s="97">
        <f t="shared" si="30"/>
        <v>0</v>
      </c>
      <c r="Q84" s="98">
        <f t="shared" si="30"/>
        <v>0</v>
      </c>
    </row>
    <row r="85" spans="1:17" x14ac:dyDescent="0.35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5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5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5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5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5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5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5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5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5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5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5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6:17" x14ac:dyDescent="0.35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6:17" x14ac:dyDescent="0.35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6:17" x14ac:dyDescent="0.35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6:17" x14ac:dyDescent="0.35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6:17" x14ac:dyDescent="0.35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6:17" x14ac:dyDescent="0.35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6:17" x14ac:dyDescent="0.35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6:17" x14ac:dyDescent="0.35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</sheetData>
  <mergeCells count="18">
    <mergeCell ref="E80:E82"/>
    <mergeCell ref="F80:F82"/>
    <mergeCell ref="C80:C82"/>
    <mergeCell ref="A1:B1"/>
    <mergeCell ref="A2:B2"/>
    <mergeCell ref="A3:B3"/>
    <mergeCell ref="Q80:Q82"/>
    <mergeCell ref="D80:D82"/>
    <mergeCell ref="I80:I82"/>
    <mergeCell ref="J80:J82"/>
    <mergeCell ref="K80:K82"/>
    <mergeCell ref="L80:L82"/>
    <mergeCell ref="M80:M82"/>
    <mergeCell ref="N80:N82"/>
    <mergeCell ref="O80:O82"/>
    <mergeCell ref="P80:P82"/>
    <mergeCell ref="G80:G82"/>
    <mergeCell ref="H80:H82"/>
  </mergeCells>
  <pageMargins left="0.7" right="0.7" top="0.75" bottom="0.75" header="0.3" footer="0.3"/>
  <pageSetup paperSize="9" scale="30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D895-CF57-448A-AFBD-DC956397D20F}">
  <dimension ref="A1:AF38"/>
  <sheetViews>
    <sheetView topLeftCell="G7" zoomScale="90" zoomScaleNormal="90" workbookViewId="0">
      <selection activeCell="K21" sqref="K21"/>
    </sheetView>
  </sheetViews>
  <sheetFormatPr defaultColWidth="8.4140625" defaultRowHeight="13" x14ac:dyDescent="0.3"/>
  <cols>
    <col min="1" max="1" width="5" style="516" customWidth="1"/>
    <col min="2" max="2" width="15.08203125" style="515" customWidth="1"/>
    <col min="3" max="3" width="19.25" style="515" customWidth="1"/>
    <col min="4" max="4" width="7.75" style="515" customWidth="1"/>
    <col min="5" max="5" width="16.6640625" style="515" customWidth="1"/>
    <col min="6" max="8" width="5.6640625" style="515" customWidth="1"/>
    <col min="9" max="10" width="6.58203125" style="515" customWidth="1"/>
    <col min="11" max="11" width="6.75" style="515" customWidth="1"/>
    <col min="12" max="14" width="6.4140625" style="515" customWidth="1"/>
    <col min="15" max="17" width="7.75" style="515" customWidth="1"/>
    <col min="18" max="18" width="6.83203125" style="515" customWidth="1"/>
    <col min="19" max="20" width="7.1640625" style="515" customWidth="1"/>
    <col min="21" max="23" width="7.33203125" style="515" customWidth="1"/>
    <col min="24" max="24" width="6.83203125" style="515" customWidth="1"/>
    <col min="25" max="28" width="7" style="515" customWidth="1"/>
    <col min="29" max="29" width="9.33203125" style="515" customWidth="1"/>
    <col min="30" max="16384" width="8.4140625" style="515"/>
  </cols>
  <sheetData>
    <row r="1" spans="1:32" ht="41.25" customHeight="1" x14ac:dyDescent="0.35">
      <c r="B1" s="582"/>
      <c r="C1" s="582"/>
      <c r="D1" s="582"/>
      <c r="E1" s="582"/>
      <c r="F1" s="583" t="s">
        <v>232</v>
      </c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2"/>
      <c r="V1" s="582"/>
      <c r="W1" s="582"/>
      <c r="X1" s="581" t="s">
        <v>233</v>
      </c>
      <c r="Y1" s="581"/>
      <c r="Z1" s="581"/>
      <c r="AA1" s="581"/>
      <c r="AB1" s="581"/>
      <c r="AC1" s="581"/>
      <c r="AD1" s="580"/>
    </row>
    <row r="2" spans="1:32" s="522" customFormat="1" ht="15.5" x14ac:dyDescent="0.35">
      <c r="A2" s="524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AD2" s="522" t="s">
        <v>662</v>
      </c>
      <c r="AE2" s="579">
        <v>44000</v>
      </c>
      <c r="AF2" s="579">
        <f>AE2-AC29</f>
        <v>0</v>
      </c>
    </row>
    <row r="3" spans="1:32" s="522" customFormat="1" ht="15.5" x14ac:dyDescent="0.35">
      <c r="A3" s="578" t="s">
        <v>234</v>
      </c>
      <c r="B3" s="527"/>
      <c r="C3" s="527"/>
      <c r="D3" s="527"/>
      <c r="E3" s="527"/>
      <c r="F3" s="527"/>
      <c r="G3" s="527"/>
      <c r="H3" s="527"/>
      <c r="I3" s="527"/>
      <c r="J3" s="527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</row>
    <row r="4" spans="1:32" s="522" customFormat="1" ht="15.5" x14ac:dyDescent="0.35">
      <c r="A4" s="577" t="s">
        <v>235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6"/>
      <c r="P4" s="526"/>
      <c r="Q4" s="526"/>
      <c r="R4" s="526"/>
      <c r="S4" s="526"/>
      <c r="T4" s="526"/>
      <c r="U4" s="526"/>
      <c r="V4" s="526"/>
      <c r="W4" s="526"/>
    </row>
    <row r="5" spans="1:32" s="522" customFormat="1" ht="15.5" x14ac:dyDescent="0.35">
      <c r="A5" s="576" t="s">
        <v>236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6"/>
      <c r="P5" s="526"/>
      <c r="Q5" s="526"/>
      <c r="R5" s="526"/>
      <c r="S5" s="526"/>
      <c r="T5" s="526"/>
      <c r="U5" s="526"/>
      <c r="V5" s="526"/>
      <c r="W5" s="526"/>
    </row>
    <row r="6" spans="1:32" s="522" customFormat="1" ht="15.5" x14ac:dyDescent="0.35">
      <c r="A6" s="575" t="s">
        <v>237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4"/>
      <c r="P6" s="574"/>
      <c r="Q6" s="574"/>
      <c r="R6" s="574"/>
      <c r="S6" s="527"/>
      <c r="T6" s="526"/>
      <c r="U6" s="526"/>
      <c r="V6" s="526"/>
      <c r="W6" s="526"/>
    </row>
    <row r="7" spans="1:32" s="522" customFormat="1" ht="16" thickBot="1" x14ac:dyDescent="0.4">
      <c r="A7" s="524"/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2"/>
      <c r="Z7" s="572"/>
      <c r="AA7" s="572"/>
      <c r="AB7" s="572"/>
      <c r="AC7" s="572"/>
    </row>
    <row r="8" spans="1:32" s="522" customFormat="1" ht="15.5" x14ac:dyDescent="0.35">
      <c r="A8" s="571"/>
      <c r="B8" s="570"/>
      <c r="C8" s="569"/>
      <c r="D8" s="569"/>
      <c r="E8" s="568"/>
      <c r="F8" s="566">
        <v>1110</v>
      </c>
      <c r="G8" s="566">
        <v>1140</v>
      </c>
      <c r="H8" s="566">
        <v>1150</v>
      </c>
      <c r="I8" s="566">
        <v>1210</v>
      </c>
      <c r="J8" s="566">
        <v>1220</v>
      </c>
      <c r="K8" s="566">
        <v>2110</v>
      </c>
      <c r="L8" s="567">
        <v>2120</v>
      </c>
      <c r="M8" s="567">
        <v>2210</v>
      </c>
      <c r="N8" s="567">
        <v>2220</v>
      </c>
      <c r="O8" s="567">
        <v>2230</v>
      </c>
      <c r="P8" s="567">
        <v>2240</v>
      </c>
      <c r="Q8" s="567">
        <v>2250</v>
      </c>
      <c r="R8" s="567">
        <v>2260</v>
      </c>
      <c r="S8" s="566">
        <v>2310</v>
      </c>
      <c r="T8" s="566">
        <v>2320</v>
      </c>
      <c r="U8" s="566">
        <v>2340</v>
      </c>
      <c r="V8" s="566">
        <v>2350</v>
      </c>
      <c r="W8" s="566">
        <v>2360</v>
      </c>
      <c r="X8" s="566">
        <v>2390</v>
      </c>
      <c r="Y8" s="565">
        <v>5110</v>
      </c>
      <c r="Z8" s="565">
        <v>5120</v>
      </c>
      <c r="AA8" s="565">
        <v>5220</v>
      </c>
      <c r="AB8" s="565">
        <v>5230</v>
      </c>
      <c r="AC8" s="564"/>
    </row>
    <row r="9" spans="1:32" s="522" customFormat="1" ht="178.5" customHeight="1" x14ac:dyDescent="0.35">
      <c r="A9" s="563" t="s">
        <v>238</v>
      </c>
      <c r="B9" s="562" t="s">
        <v>239</v>
      </c>
      <c r="C9" s="562" t="s">
        <v>240</v>
      </c>
      <c r="D9" s="562" t="s">
        <v>241</v>
      </c>
      <c r="E9" s="561" t="s">
        <v>242</v>
      </c>
      <c r="F9" s="560" t="s">
        <v>243</v>
      </c>
      <c r="G9" s="560" t="s">
        <v>244</v>
      </c>
      <c r="H9" s="560" t="s">
        <v>245</v>
      </c>
      <c r="I9" s="559" t="s">
        <v>246</v>
      </c>
      <c r="J9" s="559" t="s">
        <v>247</v>
      </c>
      <c r="K9" s="558" t="s">
        <v>248</v>
      </c>
      <c r="L9" s="558" t="s">
        <v>249</v>
      </c>
      <c r="M9" s="558" t="s">
        <v>250</v>
      </c>
      <c r="N9" s="558" t="s">
        <v>251</v>
      </c>
      <c r="O9" s="558" t="s">
        <v>252</v>
      </c>
      <c r="P9" s="558" t="s">
        <v>253</v>
      </c>
      <c r="Q9" s="558" t="s">
        <v>254</v>
      </c>
      <c r="R9" s="558" t="s">
        <v>255</v>
      </c>
      <c r="S9" s="558" t="s">
        <v>256</v>
      </c>
      <c r="T9" s="558" t="s">
        <v>257</v>
      </c>
      <c r="U9" s="558" t="s">
        <v>258</v>
      </c>
      <c r="V9" s="558" t="s">
        <v>259</v>
      </c>
      <c r="W9" s="558" t="s">
        <v>260</v>
      </c>
      <c r="X9" s="558" t="s">
        <v>261</v>
      </c>
      <c r="Y9" s="558" t="s">
        <v>262</v>
      </c>
      <c r="Z9" s="558" t="s">
        <v>263</v>
      </c>
      <c r="AA9" s="558" t="s">
        <v>264</v>
      </c>
      <c r="AB9" s="558" t="s">
        <v>265</v>
      </c>
      <c r="AC9" s="557" t="s">
        <v>267</v>
      </c>
    </row>
    <row r="10" spans="1:32" s="522" customFormat="1" ht="15.5" x14ac:dyDescent="0.35">
      <c r="A10" s="547" t="s">
        <v>620</v>
      </c>
      <c r="B10" s="550" t="s">
        <v>661</v>
      </c>
      <c r="C10" s="548" t="s">
        <v>660</v>
      </c>
      <c r="D10" s="553">
        <v>400</v>
      </c>
      <c r="E10" s="553"/>
      <c r="F10" s="552"/>
      <c r="G10" s="552"/>
      <c r="H10" s="552"/>
      <c r="I10" s="543"/>
      <c r="J10" s="543"/>
      <c r="K10" s="543"/>
      <c r="L10" s="556"/>
      <c r="M10" s="556"/>
      <c r="N10" s="556"/>
      <c r="O10" s="556"/>
      <c r="P10" s="556"/>
      <c r="Q10" s="556"/>
      <c r="R10" s="556"/>
      <c r="S10" s="555"/>
      <c r="T10" s="555"/>
      <c r="U10" s="555"/>
      <c r="V10" s="555"/>
      <c r="W10" s="555"/>
      <c r="X10" s="555"/>
      <c r="Y10" s="555">
        <v>12000</v>
      </c>
      <c r="Z10" s="554"/>
      <c r="AA10" s="554"/>
      <c r="AB10" s="554"/>
      <c r="AC10" s="541">
        <f>SUM(F10:AB10)</f>
        <v>12000</v>
      </c>
    </row>
    <row r="11" spans="1:32" s="522" customFormat="1" ht="15.5" x14ac:dyDescent="0.35">
      <c r="A11" s="547" t="s">
        <v>621</v>
      </c>
      <c r="B11" s="550" t="s">
        <v>659</v>
      </c>
      <c r="C11" s="584" t="s">
        <v>658</v>
      </c>
      <c r="D11" s="545"/>
      <c r="E11" s="545"/>
      <c r="F11" s="543"/>
      <c r="G11" s="543"/>
      <c r="H11" s="543"/>
      <c r="I11" s="543"/>
      <c r="J11" s="543"/>
      <c r="K11" s="543"/>
      <c r="L11" s="543">
        <v>2000</v>
      </c>
      <c r="M11" s="543"/>
      <c r="N11" s="543"/>
      <c r="O11" s="543"/>
      <c r="P11" s="543"/>
      <c r="Q11" s="543"/>
      <c r="R11" s="543"/>
      <c r="S11" s="544"/>
      <c r="T11" s="544"/>
      <c r="U11" s="544"/>
      <c r="V11" s="544"/>
      <c r="W11" s="544"/>
      <c r="X11" s="544"/>
      <c r="Y11" s="544"/>
      <c r="Z11" s="551"/>
      <c r="AA11" s="551"/>
      <c r="AB11" s="551"/>
      <c r="AC11" s="541">
        <f>SUM(F11:AB11)</f>
        <v>2000</v>
      </c>
    </row>
    <row r="12" spans="1:32" s="522" customFormat="1" ht="15.5" x14ac:dyDescent="0.35">
      <c r="A12" s="547" t="s">
        <v>623</v>
      </c>
      <c r="B12" s="550" t="s">
        <v>657</v>
      </c>
      <c r="C12" s="548" t="s">
        <v>395</v>
      </c>
      <c r="D12" s="553">
        <v>400</v>
      </c>
      <c r="E12" s="553" t="s">
        <v>145</v>
      </c>
      <c r="F12" s="552"/>
      <c r="G12" s="552"/>
      <c r="H12" s="552"/>
      <c r="I12" s="543"/>
      <c r="J12" s="543"/>
      <c r="K12" s="543">
        <v>250</v>
      </c>
      <c r="L12" s="543"/>
      <c r="M12" s="543"/>
      <c r="N12" s="543"/>
      <c r="O12" s="543">
        <v>1750</v>
      </c>
      <c r="P12" s="543"/>
      <c r="Q12" s="543"/>
      <c r="R12" s="543"/>
      <c r="S12" s="543">
        <v>1000</v>
      </c>
      <c r="T12" s="544"/>
      <c r="U12" s="544"/>
      <c r="V12" s="544"/>
      <c r="W12" s="544"/>
      <c r="X12" s="544"/>
      <c r="Y12" s="544"/>
      <c r="Z12" s="551"/>
      <c r="AA12" s="551"/>
      <c r="AB12" s="551"/>
      <c r="AC12" s="541">
        <f>SUM(F12:AB12)</f>
        <v>3000</v>
      </c>
    </row>
    <row r="13" spans="1:32" s="522" customFormat="1" ht="15.5" x14ac:dyDescent="0.35">
      <c r="A13" s="547" t="s">
        <v>630</v>
      </c>
      <c r="B13" s="550" t="s">
        <v>656</v>
      </c>
      <c r="C13" s="548" t="s">
        <v>395</v>
      </c>
      <c r="D13" s="553">
        <v>400</v>
      </c>
      <c r="E13" s="553" t="s">
        <v>655</v>
      </c>
      <c r="F13" s="552"/>
      <c r="G13" s="552"/>
      <c r="H13" s="552"/>
      <c r="I13" s="543"/>
      <c r="J13" s="543"/>
      <c r="K13" s="543">
        <v>250</v>
      </c>
      <c r="L13" s="543"/>
      <c r="M13" s="543"/>
      <c r="N13" s="543"/>
      <c r="O13" s="543">
        <v>1750</v>
      </c>
      <c r="P13" s="543"/>
      <c r="Q13" s="543"/>
      <c r="R13" s="543"/>
      <c r="S13" s="543">
        <v>1000</v>
      </c>
      <c r="T13" s="544"/>
      <c r="U13" s="544"/>
      <c r="V13" s="544"/>
      <c r="W13" s="544"/>
      <c r="X13" s="544"/>
      <c r="Y13" s="544"/>
      <c r="Z13" s="551"/>
      <c r="AA13" s="551"/>
      <c r="AB13" s="551"/>
      <c r="AC13" s="541">
        <f>SUM(F13:AB13)</f>
        <v>3000</v>
      </c>
    </row>
    <row r="14" spans="1:32" s="522" customFormat="1" ht="15.5" x14ac:dyDescent="0.35">
      <c r="A14" s="547" t="s">
        <v>629</v>
      </c>
      <c r="B14" s="550" t="s">
        <v>654</v>
      </c>
      <c r="C14" s="548" t="s">
        <v>395</v>
      </c>
      <c r="D14" s="545">
        <v>400</v>
      </c>
      <c r="E14" s="545" t="s">
        <v>653</v>
      </c>
      <c r="F14" s="543"/>
      <c r="G14" s="543"/>
      <c r="H14" s="543"/>
      <c r="I14" s="543"/>
      <c r="J14" s="543"/>
      <c r="K14" s="543">
        <v>250</v>
      </c>
      <c r="L14" s="543"/>
      <c r="M14" s="543"/>
      <c r="N14" s="543"/>
      <c r="O14" s="543">
        <v>1750</v>
      </c>
      <c r="P14" s="543"/>
      <c r="Q14" s="543"/>
      <c r="R14" s="543"/>
      <c r="S14" s="543">
        <v>1000</v>
      </c>
      <c r="T14" s="543"/>
      <c r="U14" s="543"/>
      <c r="V14" s="543"/>
      <c r="W14" s="543"/>
      <c r="X14" s="543"/>
      <c r="Y14" s="543"/>
      <c r="Z14" s="542"/>
      <c r="AA14" s="542"/>
      <c r="AB14" s="542"/>
      <c r="AC14" s="541">
        <f>SUM(F14:AB14)</f>
        <v>3000</v>
      </c>
    </row>
    <row r="15" spans="1:32" s="522" customFormat="1" ht="15.5" x14ac:dyDescent="0.35">
      <c r="A15" s="547" t="s">
        <v>652</v>
      </c>
      <c r="B15" s="550" t="s">
        <v>651</v>
      </c>
      <c r="C15" s="548" t="s">
        <v>395</v>
      </c>
      <c r="D15" s="545">
        <v>400</v>
      </c>
      <c r="E15" s="545" t="s">
        <v>650</v>
      </c>
      <c r="F15" s="543"/>
      <c r="G15" s="543"/>
      <c r="H15" s="543"/>
      <c r="I15" s="543"/>
      <c r="J15" s="543"/>
      <c r="K15" s="543">
        <v>250</v>
      </c>
      <c r="L15" s="543"/>
      <c r="M15" s="543"/>
      <c r="N15" s="543"/>
      <c r="O15" s="543">
        <v>1750</v>
      </c>
      <c r="P15" s="543"/>
      <c r="Q15" s="543"/>
      <c r="R15" s="543"/>
      <c r="S15" s="543">
        <v>1000</v>
      </c>
      <c r="T15" s="543"/>
      <c r="U15" s="543"/>
      <c r="V15" s="543"/>
      <c r="W15" s="543"/>
      <c r="X15" s="543"/>
      <c r="Y15" s="543"/>
      <c r="Z15" s="542"/>
      <c r="AA15" s="542"/>
      <c r="AB15" s="542"/>
      <c r="AC15" s="541">
        <f>SUM(F15:AB15)</f>
        <v>3000</v>
      </c>
    </row>
    <row r="16" spans="1:32" s="522" customFormat="1" ht="15.5" x14ac:dyDescent="0.35">
      <c r="A16" s="547" t="s">
        <v>649</v>
      </c>
      <c r="B16" s="550" t="s">
        <v>648</v>
      </c>
      <c r="C16" s="548" t="s">
        <v>269</v>
      </c>
      <c r="D16" s="545">
        <v>400</v>
      </c>
      <c r="E16" s="545" t="s">
        <v>647</v>
      </c>
      <c r="F16" s="543"/>
      <c r="G16" s="543"/>
      <c r="H16" s="543"/>
      <c r="I16" s="543"/>
      <c r="J16" s="543"/>
      <c r="K16" s="543">
        <v>250</v>
      </c>
      <c r="L16" s="543"/>
      <c r="M16" s="543"/>
      <c r="N16" s="543"/>
      <c r="O16" s="543">
        <v>1750</v>
      </c>
      <c r="P16" s="543"/>
      <c r="Q16" s="543"/>
      <c r="R16" s="543"/>
      <c r="S16" s="543">
        <v>1000</v>
      </c>
      <c r="T16" s="543"/>
      <c r="U16" s="543"/>
      <c r="V16" s="543"/>
      <c r="W16" s="543"/>
      <c r="X16" s="543"/>
      <c r="Y16" s="543"/>
      <c r="Z16" s="542"/>
      <c r="AA16" s="542"/>
      <c r="AB16" s="542"/>
      <c r="AC16" s="541">
        <f>SUM(F16:AB16)</f>
        <v>3000</v>
      </c>
    </row>
    <row r="17" spans="1:29" s="522" customFormat="1" ht="16" customHeight="1" x14ac:dyDescent="0.35">
      <c r="A17" s="547" t="s">
        <v>646</v>
      </c>
      <c r="B17" s="550" t="s">
        <v>645</v>
      </c>
      <c r="C17" s="548" t="s">
        <v>395</v>
      </c>
      <c r="D17" s="545">
        <v>400</v>
      </c>
      <c r="E17" s="545" t="s">
        <v>644</v>
      </c>
      <c r="F17" s="543"/>
      <c r="G17" s="543"/>
      <c r="H17" s="543"/>
      <c r="I17" s="543"/>
      <c r="J17" s="543"/>
      <c r="K17" s="543">
        <v>250</v>
      </c>
      <c r="L17" s="543"/>
      <c r="M17" s="543"/>
      <c r="N17" s="543"/>
      <c r="O17" s="543">
        <v>1750</v>
      </c>
      <c r="P17" s="543"/>
      <c r="Q17" s="543"/>
      <c r="R17" s="543"/>
      <c r="S17" s="543">
        <v>1000</v>
      </c>
      <c r="T17" s="543"/>
      <c r="U17" s="543"/>
      <c r="V17" s="543"/>
      <c r="W17" s="543"/>
      <c r="X17" s="543"/>
      <c r="Y17" s="543"/>
      <c r="Z17" s="542"/>
      <c r="AA17" s="542"/>
      <c r="AB17" s="542"/>
      <c r="AC17" s="541">
        <f>SUM(F17:AB17)</f>
        <v>3000</v>
      </c>
    </row>
    <row r="18" spans="1:29" s="522" customFormat="1" ht="15.5" x14ac:dyDescent="0.35">
      <c r="A18" s="547" t="s">
        <v>643</v>
      </c>
      <c r="B18" s="550" t="s">
        <v>642</v>
      </c>
      <c r="C18" s="548" t="s">
        <v>395</v>
      </c>
      <c r="D18" s="545">
        <v>400</v>
      </c>
      <c r="E18" s="545" t="s">
        <v>131</v>
      </c>
      <c r="F18" s="543"/>
      <c r="G18" s="543"/>
      <c r="H18" s="543"/>
      <c r="I18" s="543"/>
      <c r="J18" s="543"/>
      <c r="K18" s="543">
        <v>250</v>
      </c>
      <c r="L18" s="543"/>
      <c r="M18" s="543"/>
      <c r="N18" s="543"/>
      <c r="O18" s="543">
        <v>1750</v>
      </c>
      <c r="P18" s="543"/>
      <c r="Q18" s="543"/>
      <c r="R18" s="543"/>
      <c r="S18" s="543">
        <v>1000</v>
      </c>
      <c r="T18" s="543"/>
      <c r="U18" s="543"/>
      <c r="V18" s="543"/>
      <c r="W18" s="543"/>
      <c r="X18" s="543"/>
      <c r="Y18" s="543"/>
      <c r="Z18" s="542"/>
      <c r="AA18" s="542"/>
      <c r="AB18" s="542"/>
      <c r="AC18" s="541">
        <f>SUM(F18:AB18)</f>
        <v>3000</v>
      </c>
    </row>
    <row r="19" spans="1:29" s="522" customFormat="1" ht="15.5" x14ac:dyDescent="0.35">
      <c r="A19" s="547" t="s">
        <v>407</v>
      </c>
      <c r="B19" s="545" t="s">
        <v>641</v>
      </c>
      <c r="C19" s="548" t="s">
        <v>395</v>
      </c>
      <c r="D19" s="545">
        <v>400</v>
      </c>
      <c r="E19" s="545" t="s">
        <v>640</v>
      </c>
      <c r="F19" s="543"/>
      <c r="G19" s="543"/>
      <c r="H19" s="543"/>
      <c r="I19" s="543"/>
      <c r="J19" s="543"/>
      <c r="K19" s="543">
        <v>250</v>
      </c>
      <c r="L19" s="543"/>
      <c r="M19" s="543"/>
      <c r="N19" s="543"/>
      <c r="O19" s="543">
        <v>1750</v>
      </c>
      <c r="P19" s="543"/>
      <c r="Q19" s="543"/>
      <c r="R19" s="543"/>
      <c r="S19" s="543">
        <v>1000</v>
      </c>
      <c r="T19" s="543"/>
      <c r="U19" s="543"/>
      <c r="V19" s="543"/>
      <c r="W19" s="543"/>
      <c r="X19" s="543"/>
      <c r="Y19" s="543"/>
      <c r="Z19" s="542"/>
      <c r="AA19" s="542"/>
      <c r="AB19" s="542"/>
      <c r="AC19" s="541">
        <f>SUM(F19:AB19)</f>
        <v>3000</v>
      </c>
    </row>
    <row r="20" spans="1:29" s="522" customFormat="1" ht="15.5" x14ac:dyDescent="0.35">
      <c r="A20" s="547" t="s">
        <v>639</v>
      </c>
      <c r="B20" s="545" t="s">
        <v>638</v>
      </c>
      <c r="C20" s="548" t="s">
        <v>395</v>
      </c>
      <c r="D20" s="545">
        <v>400</v>
      </c>
      <c r="E20" s="545" t="s">
        <v>637</v>
      </c>
      <c r="F20" s="543"/>
      <c r="G20" s="543"/>
      <c r="H20" s="543"/>
      <c r="I20" s="543"/>
      <c r="J20" s="543"/>
      <c r="K20" s="543">
        <v>250</v>
      </c>
      <c r="L20" s="543"/>
      <c r="M20" s="543"/>
      <c r="N20" s="543"/>
      <c r="O20" s="543">
        <v>1750</v>
      </c>
      <c r="P20" s="543"/>
      <c r="Q20" s="543"/>
      <c r="R20" s="543"/>
      <c r="S20" s="543">
        <v>1000</v>
      </c>
      <c r="T20" s="543"/>
      <c r="U20" s="543"/>
      <c r="V20" s="543"/>
      <c r="W20" s="543"/>
      <c r="X20" s="543"/>
      <c r="Y20" s="543"/>
      <c r="Z20" s="542"/>
      <c r="AA20" s="542"/>
      <c r="AB20" s="542"/>
      <c r="AC20" s="541">
        <f>SUM(F20:AB20)</f>
        <v>3000</v>
      </c>
    </row>
    <row r="21" spans="1:29" s="522" customFormat="1" ht="15.5" x14ac:dyDescent="0.35">
      <c r="A21" s="547" t="s">
        <v>636</v>
      </c>
      <c r="B21" s="545" t="s">
        <v>635</v>
      </c>
      <c r="C21" s="548" t="s">
        <v>395</v>
      </c>
      <c r="D21" s="545">
        <v>400</v>
      </c>
      <c r="E21" s="545" t="s">
        <v>634</v>
      </c>
      <c r="F21" s="543"/>
      <c r="G21" s="543"/>
      <c r="H21" s="543"/>
      <c r="I21" s="543"/>
      <c r="J21" s="543"/>
      <c r="K21" s="543">
        <v>250</v>
      </c>
      <c r="L21" s="543"/>
      <c r="M21" s="543"/>
      <c r="N21" s="543"/>
      <c r="O21" s="543">
        <v>1750</v>
      </c>
      <c r="P21" s="543"/>
      <c r="Q21" s="543"/>
      <c r="R21" s="543"/>
      <c r="S21" s="543">
        <v>1000</v>
      </c>
      <c r="T21" s="543"/>
      <c r="U21" s="543"/>
      <c r="V21" s="543"/>
      <c r="W21" s="543"/>
      <c r="X21" s="543"/>
      <c r="Y21" s="543"/>
      <c r="Z21" s="542"/>
      <c r="AA21" s="542"/>
      <c r="AB21" s="542"/>
      <c r="AC21" s="541">
        <f>SUM(F21:AB21)</f>
        <v>3000</v>
      </c>
    </row>
    <row r="22" spans="1:29" s="522" customFormat="1" ht="15.5" x14ac:dyDescent="0.35">
      <c r="A22" s="547"/>
      <c r="B22" s="545"/>
      <c r="C22" s="548"/>
      <c r="D22" s="545"/>
      <c r="E22" s="545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2"/>
      <c r="AA22" s="542"/>
      <c r="AB22" s="542"/>
      <c r="AC22" s="541">
        <f>SUM(F22:AB22)</f>
        <v>0</v>
      </c>
    </row>
    <row r="23" spans="1:29" s="522" customFormat="1" ht="15.5" x14ac:dyDescent="0.35">
      <c r="A23" s="547"/>
      <c r="B23" s="545"/>
      <c r="C23" s="548"/>
      <c r="D23" s="545"/>
      <c r="E23" s="545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2"/>
      <c r="AA23" s="542"/>
      <c r="AB23" s="542"/>
      <c r="AC23" s="541">
        <f>SUM(F23:AB23)</f>
        <v>0</v>
      </c>
    </row>
    <row r="24" spans="1:29" s="522" customFormat="1" ht="15.5" x14ac:dyDescent="0.35">
      <c r="A24" s="547"/>
      <c r="B24" s="545"/>
      <c r="C24" s="546"/>
      <c r="D24" s="545"/>
      <c r="E24" s="545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2"/>
      <c r="AA24" s="542"/>
      <c r="AB24" s="542"/>
      <c r="AC24" s="541">
        <f>SUM(F24:AB24)</f>
        <v>0</v>
      </c>
    </row>
    <row r="25" spans="1:29" s="522" customFormat="1" ht="15.5" x14ac:dyDescent="0.35">
      <c r="A25" s="547"/>
      <c r="B25" s="545"/>
      <c r="C25" s="548"/>
      <c r="D25" s="545"/>
      <c r="E25" s="545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2"/>
      <c r="AA25" s="542"/>
      <c r="AB25" s="542"/>
      <c r="AC25" s="541">
        <f>SUM(F25:AB25)</f>
        <v>0</v>
      </c>
    </row>
    <row r="26" spans="1:29" s="522" customFormat="1" ht="15.5" x14ac:dyDescent="0.35">
      <c r="A26" s="547"/>
      <c r="B26" s="545"/>
      <c r="C26" s="548"/>
      <c r="D26" s="545"/>
      <c r="E26" s="545"/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2"/>
      <c r="AA26" s="542"/>
      <c r="AB26" s="542"/>
      <c r="AC26" s="541">
        <f>SUM(F26:AB26)</f>
        <v>0</v>
      </c>
    </row>
    <row r="27" spans="1:29" s="522" customFormat="1" ht="15.5" x14ac:dyDescent="0.35">
      <c r="A27" s="547"/>
      <c r="B27" s="545"/>
      <c r="C27" s="548"/>
      <c r="D27" s="545"/>
      <c r="E27" s="545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3"/>
      <c r="T27" s="543"/>
      <c r="U27" s="543"/>
      <c r="V27" s="543"/>
      <c r="W27" s="543"/>
      <c r="X27" s="543"/>
      <c r="Y27" s="543"/>
      <c r="Z27" s="542"/>
      <c r="AA27" s="542"/>
      <c r="AB27" s="542"/>
      <c r="AC27" s="541">
        <f>SUM(F27:AB27)</f>
        <v>0</v>
      </c>
    </row>
    <row r="28" spans="1:29" s="522" customFormat="1" ht="15.5" x14ac:dyDescent="0.35">
      <c r="A28" s="547"/>
      <c r="B28" s="545"/>
      <c r="C28" s="546"/>
      <c r="D28" s="545"/>
      <c r="E28" s="545"/>
      <c r="F28" s="544"/>
      <c r="G28" s="544"/>
      <c r="H28" s="544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2"/>
      <c r="AA28" s="542"/>
      <c r="AB28" s="542"/>
      <c r="AC28" s="541">
        <f>SUM(F28:AB28)</f>
        <v>0</v>
      </c>
    </row>
    <row r="29" spans="1:29" s="522" customFormat="1" ht="16" thickBot="1" x14ac:dyDescent="0.4">
      <c r="A29" s="540"/>
      <c r="B29" s="538" t="s">
        <v>344</v>
      </c>
      <c r="C29" s="538" t="s">
        <v>344</v>
      </c>
      <c r="D29" s="539"/>
      <c r="E29" s="538" t="s">
        <v>344</v>
      </c>
      <c r="F29" s="537">
        <f>SUM(F10:F28)</f>
        <v>0</v>
      </c>
      <c r="G29" s="537">
        <f>SUM(G10:G28)</f>
        <v>0</v>
      </c>
      <c r="H29" s="537">
        <f>SUM(H10:H28)</f>
        <v>0</v>
      </c>
      <c r="I29" s="537">
        <f>SUM(I10:I28)</f>
        <v>0</v>
      </c>
      <c r="J29" s="537">
        <f>SUM(J10:J28)</f>
        <v>0</v>
      </c>
      <c r="K29" s="537">
        <f>SUM(K10:K28)</f>
        <v>2500</v>
      </c>
      <c r="L29" s="537">
        <f>SUM(L10:L28)</f>
        <v>2000</v>
      </c>
      <c r="M29" s="537">
        <f>SUM(M10:M28)</f>
        <v>0</v>
      </c>
      <c r="N29" s="537">
        <f>SUM(N10:N28)</f>
        <v>0</v>
      </c>
      <c r="O29" s="537">
        <f>SUM(O10:O28)</f>
        <v>17500</v>
      </c>
      <c r="P29" s="537">
        <f>SUM(P10:P28)</f>
        <v>0</v>
      </c>
      <c r="Q29" s="537">
        <f>SUM(Q10:Q28)</f>
        <v>0</v>
      </c>
      <c r="R29" s="537">
        <f>SUM(R10:R28)</f>
        <v>0</v>
      </c>
      <c r="S29" s="537">
        <f>SUM(S10:S28)</f>
        <v>10000</v>
      </c>
      <c r="T29" s="537">
        <f>SUM(T10:T28)</f>
        <v>0</v>
      </c>
      <c r="U29" s="537">
        <f>SUM(U10:U28)</f>
        <v>0</v>
      </c>
      <c r="V29" s="537">
        <f>SUM(V10:V28)</f>
        <v>0</v>
      </c>
      <c r="W29" s="537">
        <f>SUM(W10:W28)</f>
        <v>0</v>
      </c>
      <c r="X29" s="537">
        <f>SUM(X10:X28)</f>
        <v>0</v>
      </c>
      <c r="Y29" s="537">
        <f>SUM(Y10:Y28)</f>
        <v>12000</v>
      </c>
      <c r="Z29" s="537">
        <f>SUM(Z10:Z28)</f>
        <v>0</v>
      </c>
      <c r="AA29" s="537">
        <f>SUM(AA10:AA28)</f>
        <v>0</v>
      </c>
      <c r="AB29" s="537">
        <f>SUM(AB10:AB28)</f>
        <v>0</v>
      </c>
      <c r="AC29" s="536">
        <f>SUM(AC10:AC28)</f>
        <v>44000</v>
      </c>
    </row>
    <row r="30" spans="1:29" s="522" customFormat="1" ht="15.5" x14ac:dyDescent="0.35">
      <c r="A30" s="535"/>
      <c r="B30" s="533"/>
      <c r="C30" s="533"/>
      <c r="D30" s="534"/>
      <c r="E30" s="533"/>
      <c r="F30" s="532"/>
      <c r="G30" s="532"/>
      <c r="H30" s="532"/>
      <c r="I30" s="531"/>
      <c r="J30" s="531"/>
      <c r="K30" s="531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529"/>
    </row>
    <row r="32" spans="1:29" ht="15.5" x14ac:dyDescent="0.35">
      <c r="B32" s="524"/>
      <c r="C32" s="522"/>
      <c r="D32" s="522"/>
      <c r="E32" s="528" t="s">
        <v>626</v>
      </c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28"/>
      <c r="AC32" s="528"/>
    </row>
    <row r="33" spans="2:29" ht="15.5" x14ac:dyDescent="0.35">
      <c r="B33" s="524"/>
      <c r="C33" s="522"/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7"/>
      <c r="T33" s="527"/>
      <c r="U33" s="527"/>
      <c r="V33" s="527"/>
      <c r="W33" s="527"/>
      <c r="X33" s="526"/>
    </row>
    <row r="34" spans="2:29" x14ac:dyDescent="0.3">
      <c r="B34" s="516"/>
      <c r="C34" s="520"/>
      <c r="D34" s="520"/>
      <c r="E34" s="520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7"/>
      <c r="T34" s="517"/>
      <c r="U34" s="517"/>
      <c r="V34" s="517"/>
      <c r="W34" s="518"/>
      <c r="X34" s="517"/>
      <c r="Y34" s="517"/>
      <c r="Z34" s="517"/>
      <c r="AA34" s="517"/>
      <c r="AB34" s="517"/>
      <c r="AC34" s="517"/>
    </row>
    <row r="35" spans="2:29" x14ac:dyDescent="0.3">
      <c r="B35" s="516"/>
      <c r="C35" s="520"/>
      <c r="D35" s="520"/>
      <c r="E35" s="520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8"/>
    </row>
    <row r="36" spans="2:29" ht="15.5" x14ac:dyDescent="0.35">
      <c r="B36" s="524"/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2"/>
      <c r="T36" s="522"/>
      <c r="U36" s="522"/>
      <c r="V36" s="522"/>
      <c r="W36" s="522"/>
      <c r="X36" s="522"/>
    </row>
    <row r="37" spans="2:29" ht="15.5" x14ac:dyDescent="0.35">
      <c r="C37" s="522"/>
      <c r="D37" s="522"/>
      <c r="E37" s="521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W37" s="516"/>
    </row>
    <row r="38" spans="2:29" x14ac:dyDescent="0.3">
      <c r="B38" s="516"/>
      <c r="C38" s="520"/>
      <c r="D38" s="520"/>
      <c r="E38" s="520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7"/>
      <c r="T38" s="517"/>
      <c r="U38" s="517"/>
      <c r="V38" s="517"/>
      <c r="W38" s="518"/>
      <c r="X38" s="517"/>
      <c r="Y38" s="517"/>
      <c r="Z38" s="517"/>
      <c r="AA38" s="517"/>
      <c r="AB38" s="517"/>
      <c r="AC38" s="517"/>
    </row>
  </sheetData>
  <mergeCells count="3">
    <mergeCell ref="F1:T1"/>
    <mergeCell ref="X1:AC1"/>
    <mergeCell ref="E32:AC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D25A-3158-4A48-A2AE-C4C3F6536A61}">
  <dimension ref="A1:AF47"/>
  <sheetViews>
    <sheetView topLeftCell="A4" zoomScale="70" zoomScaleNormal="70" workbookViewId="0">
      <selection activeCell="E19" sqref="E19"/>
    </sheetView>
  </sheetViews>
  <sheetFormatPr defaultColWidth="8.4140625" defaultRowHeight="13" x14ac:dyDescent="0.3"/>
  <cols>
    <col min="1" max="1" width="5" style="516" customWidth="1"/>
    <col min="2" max="2" width="15.08203125" style="515" customWidth="1"/>
    <col min="3" max="3" width="20.1640625" style="515" customWidth="1"/>
    <col min="4" max="4" width="7.75" style="515" customWidth="1"/>
    <col min="5" max="5" width="16.6640625" style="515" customWidth="1"/>
    <col min="6" max="8" width="5.6640625" style="515" customWidth="1"/>
    <col min="9" max="10" width="6.58203125" style="515" customWidth="1"/>
    <col min="11" max="11" width="6.75" style="515" customWidth="1"/>
    <col min="12" max="14" width="6.4140625" style="515" customWidth="1"/>
    <col min="15" max="17" width="7.75" style="515" customWidth="1"/>
    <col min="18" max="18" width="6.83203125" style="515" customWidth="1"/>
    <col min="19" max="20" width="7.1640625" style="515" customWidth="1"/>
    <col min="21" max="23" width="7.33203125" style="515" customWidth="1"/>
    <col min="24" max="24" width="6.83203125" style="515" customWidth="1"/>
    <col min="25" max="28" width="7" style="515" customWidth="1"/>
    <col min="29" max="29" width="9.33203125" style="515" customWidth="1"/>
    <col min="30" max="30" width="9.75" style="515" bestFit="1" customWidth="1"/>
    <col min="31" max="16384" width="8.4140625" style="515"/>
  </cols>
  <sheetData>
    <row r="1" spans="1:32" ht="41.25" customHeight="1" x14ac:dyDescent="0.35">
      <c r="B1" s="582"/>
      <c r="C1" s="582"/>
      <c r="D1" s="582"/>
      <c r="E1" s="582"/>
      <c r="F1" s="583" t="s">
        <v>232</v>
      </c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2"/>
      <c r="V1" s="582"/>
      <c r="W1" s="582"/>
      <c r="X1" s="581" t="s">
        <v>233</v>
      </c>
      <c r="Y1" s="581"/>
      <c r="Z1" s="581"/>
      <c r="AA1" s="581"/>
      <c r="AB1" s="581"/>
      <c r="AC1" s="581"/>
      <c r="AD1" s="580"/>
    </row>
    <row r="2" spans="1:32" s="522" customFormat="1" ht="15.5" x14ac:dyDescent="0.35">
      <c r="A2" s="524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AD2" s="522" t="s">
        <v>709</v>
      </c>
      <c r="AE2" s="579">
        <v>100525</v>
      </c>
      <c r="AF2" s="579">
        <f>AE2-AC38</f>
        <v>0</v>
      </c>
    </row>
    <row r="3" spans="1:32" s="522" customFormat="1" ht="15.5" x14ac:dyDescent="0.35">
      <c r="A3" s="578" t="s">
        <v>234</v>
      </c>
      <c r="B3" s="527"/>
      <c r="C3" s="527"/>
      <c r="D3" s="527"/>
      <c r="E3" s="527"/>
      <c r="F3" s="527"/>
      <c r="G3" s="527"/>
      <c r="H3" s="527"/>
      <c r="I3" s="527"/>
      <c r="J3" s="527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</row>
    <row r="4" spans="1:32" s="522" customFormat="1" ht="15.5" x14ac:dyDescent="0.35">
      <c r="A4" s="577" t="s">
        <v>235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6"/>
      <c r="P4" s="526"/>
      <c r="Q4" s="526"/>
      <c r="R4" s="526"/>
      <c r="S4" s="526"/>
      <c r="T4" s="526"/>
      <c r="U4" s="526"/>
      <c r="V4" s="526"/>
      <c r="W4" s="526"/>
    </row>
    <row r="5" spans="1:32" s="522" customFormat="1" ht="15.5" x14ac:dyDescent="0.35">
      <c r="A5" s="576" t="s">
        <v>236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6"/>
      <c r="P5" s="526"/>
      <c r="Q5" s="526"/>
      <c r="R5" s="526"/>
      <c r="S5" s="526"/>
      <c r="T5" s="526"/>
      <c r="U5" s="526"/>
      <c r="V5" s="526"/>
      <c r="W5" s="526"/>
    </row>
    <row r="6" spans="1:32" s="522" customFormat="1" ht="15.5" x14ac:dyDescent="0.35">
      <c r="A6" s="575" t="s">
        <v>237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4"/>
      <c r="P6" s="574"/>
      <c r="Q6" s="574"/>
      <c r="R6" s="574"/>
      <c r="S6" s="527"/>
      <c r="T6" s="526"/>
      <c r="U6" s="526"/>
      <c r="V6" s="526"/>
      <c r="W6" s="526"/>
    </row>
    <row r="7" spans="1:32" s="522" customFormat="1" ht="16" thickBot="1" x14ac:dyDescent="0.4">
      <c r="A7" s="524"/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2"/>
      <c r="Z7" s="572"/>
      <c r="AA7" s="572"/>
      <c r="AB7" s="572"/>
      <c r="AC7" s="572"/>
    </row>
    <row r="8" spans="1:32" s="522" customFormat="1" ht="15.5" x14ac:dyDescent="0.35">
      <c r="A8" s="571"/>
      <c r="B8" s="570"/>
      <c r="C8" s="569"/>
      <c r="D8" s="569"/>
      <c r="E8" s="568"/>
      <c r="F8" s="566">
        <v>1110</v>
      </c>
      <c r="G8" s="566">
        <v>1140</v>
      </c>
      <c r="H8" s="566">
        <v>1150</v>
      </c>
      <c r="I8" s="566">
        <v>1210</v>
      </c>
      <c r="J8" s="566">
        <v>1220</v>
      </c>
      <c r="K8" s="566">
        <v>2110</v>
      </c>
      <c r="L8" s="567">
        <v>2120</v>
      </c>
      <c r="M8" s="567">
        <v>2210</v>
      </c>
      <c r="N8" s="567">
        <v>2220</v>
      </c>
      <c r="O8" s="567">
        <v>2230</v>
      </c>
      <c r="P8" s="567">
        <v>2240</v>
      </c>
      <c r="Q8" s="567">
        <v>2250</v>
      </c>
      <c r="R8" s="567">
        <v>2260</v>
      </c>
      <c r="S8" s="566">
        <v>2310</v>
      </c>
      <c r="T8" s="566">
        <v>2320</v>
      </c>
      <c r="U8" s="566">
        <v>2340</v>
      </c>
      <c r="V8" s="566">
        <v>2350</v>
      </c>
      <c r="W8" s="566">
        <v>2360</v>
      </c>
      <c r="X8" s="566">
        <v>2390</v>
      </c>
      <c r="Y8" s="565">
        <v>5110</v>
      </c>
      <c r="Z8" s="565">
        <v>5120</v>
      </c>
      <c r="AA8" s="565">
        <v>5220</v>
      </c>
      <c r="AB8" s="565">
        <v>5230</v>
      </c>
      <c r="AC8" s="564"/>
    </row>
    <row r="9" spans="1:32" s="522" customFormat="1" ht="178.5" customHeight="1" x14ac:dyDescent="0.35">
      <c r="A9" s="563" t="s">
        <v>238</v>
      </c>
      <c r="B9" s="562" t="s">
        <v>239</v>
      </c>
      <c r="C9" s="562" t="s">
        <v>240</v>
      </c>
      <c r="D9" s="562" t="s">
        <v>241</v>
      </c>
      <c r="E9" s="561" t="s">
        <v>242</v>
      </c>
      <c r="F9" s="560" t="s">
        <v>243</v>
      </c>
      <c r="G9" s="560" t="s">
        <v>244</v>
      </c>
      <c r="H9" s="560" t="s">
        <v>245</v>
      </c>
      <c r="I9" s="559" t="s">
        <v>246</v>
      </c>
      <c r="J9" s="559" t="s">
        <v>247</v>
      </c>
      <c r="K9" s="558" t="s">
        <v>248</v>
      </c>
      <c r="L9" s="558" t="s">
        <v>249</v>
      </c>
      <c r="M9" s="558" t="s">
        <v>250</v>
      </c>
      <c r="N9" s="558" t="s">
        <v>251</v>
      </c>
      <c r="O9" s="558" t="s">
        <v>252</v>
      </c>
      <c r="P9" s="558" t="s">
        <v>253</v>
      </c>
      <c r="Q9" s="558" t="s">
        <v>254</v>
      </c>
      <c r="R9" s="558" t="s">
        <v>255</v>
      </c>
      <c r="S9" s="558" t="s">
        <v>256</v>
      </c>
      <c r="T9" s="558" t="s">
        <v>257</v>
      </c>
      <c r="U9" s="558" t="s">
        <v>258</v>
      </c>
      <c r="V9" s="558" t="s">
        <v>259</v>
      </c>
      <c r="W9" s="558" t="s">
        <v>260</v>
      </c>
      <c r="X9" s="558" t="s">
        <v>261</v>
      </c>
      <c r="Y9" s="558" t="s">
        <v>262</v>
      </c>
      <c r="Z9" s="558" t="s">
        <v>263</v>
      </c>
      <c r="AA9" s="558" t="s">
        <v>264</v>
      </c>
      <c r="AB9" s="558" t="s">
        <v>265</v>
      </c>
      <c r="AC9" s="557" t="s">
        <v>267</v>
      </c>
    </row>
    <row r="10" spans="1:32" s="522" customFormat="1" ht="23.5" customHeight="1" x14ac:dyDescent="0.35">
      <c r="A10" s="547" t="s">
        <v>620</v>
      </c>
      <c r="B10" s="550" t="s">
        <v>708</v>
      </c>
      <c r="C10" s="584" t="s">
        <v>369</v>
      </c>
      <c r="D10" s="545">
        <v>2</v>
      </c>
      <c r="E10" s="545" t="s">
        <v>707</v>
      </c>
      <c r="F10" s="543"/>
      <c r="G10" s="543"/>
      <c r="H10" s="543"/>
      <c r="I10" s="543"/>
      <c r="J10" s="543"/>
      <c r="K10" s="543"/>
      <c r="L10" s="543">
        <v>2000</v>
      </c>
      <c r="M10" s="543"/>
      <c r="N10" s="543"/>
      <c r="O10" s="543"/>
      <c r="P10" s="543"/>
      <c r="Q10" s="543"/>
      <c r="R10" s="543"/>
      <c r="S10" s="555"/>
      <c r="T10" s="555"/>
      <c r="U10" s="555"/>
      <c r="V10" s="555"/>
      <c r="W10" s="555"/>
      <c r="X10" s="555"/>
      <c r="Y10" s="555"/>
      <c r="Z10" s="554"/>
      <c r="AA10" s="554"/>
      <c r="AB10" s="554"/>
      <c r="AC10" s="541">
        <f>SUM(F10:AB10)</f>
        <v>2000</v>
      </c>
    </row>
    <row r="11" spans="1:32" s="522" customFormat="1" ht="15.5" x14ac:dyDescent="0.35">
      <c r="A11" s="547" t="s">
        <v>621</v>
      </c>
      <c r="B11" s="550" t="s">
        <v>706</v>
      </c>
      <c r="C11" s="584" t="s">
        <v>273</v>
      </c>
      <c r="D11" s="545">
        <v>1</v>
      </c>
      <c r="E11" s="545" t="s">
        <v>705</v>
      </c>
      <c r="F11" s="543"/>
      <c r="G11" s="543"/>
      <c r="H11" s="543"/>
      <c r="I11" s="543"/>
      <c r="J11" s="543"/>
      <c r="K11" s="543"/>
      <c r="L11" s="543">
        <v>1000</v>
      </c>
      <c r="M11" s="543"/>
      <c r="N11" s="543"/>
      <c r="O11" s="543"/>
      <c r="P11" s="543"/>
      <c r="Q11" s="543"/>
      <c r="R11" s="543"/>
      <c r="S11" s="555"/>
      <c r="T11" s="555"/>
      <c r="U11" s="555"/>
      <c r="V11" s="555"/>
      <c r="W11" s="555"/>
      <c r="X11" s="555"/>
      <c r="Y11" s="555"/>
      <c r="Z11" s="554"/>
      <c r="AA11" s="554"/>
      <c r="AB11" s="554"/>
      <c r="AC11" s="541">
        <f>SUM(F11:AB11)</f>
        <v>1000</v>
      </c>
    </row>
    <row r="12" spans="1:32" s="522" customFormat="1" ht="16" customHeight="1" x14ac:dyDescent="0.35">
      <c r="A12" s="547" t="s">
        <v>623</v>
      </c>
      <c r="B12" s="550" t="s">
        <v>704</v>
      </c>
      <c r="C12" s="584" t="s">
        <v>703</v>
      </c>
      <c r="D12" s="545">
        <v>2</v>
      </c>
      <c r="E12" s="545" t="s">
        <v>702</v>
      </c>
      <c r="F12" s="543"/>
      <c r="G12" s="543"/>
      <c r="H12" s="543"/>
      <c r="I12" s="543"/>
      <c r="J12" s="543"/>
      <c r="K12" s="543"/>
      <c r="L12" s="543">
        <v>2000</v>
      </c>
      <c r="M12" s="543"/>
      <c r="N12" s="543"/>
      <c r="O12" s="543"/>
      <c r="P12" s="543"/>
      <c r="Q12" s="543"/>
      <c r="R12" s="543"/>
      <c r="S12" s="544"/>
      <c r="T12" s="544"/>
      <c r="U12" s="544"/>
      <c r="V12" s="544"/>
      <c r="W12" s="544"/>
      <c r="X12" s="544"/>
      <c r="Y12" s="544"/>
      <c r="Z12" s="551"/>
      <c r="AA12" s="551"/>
      <c r="AB12" s="551"/>
      <c r="AC12" s="541">
        <f>SUM(F12:AB12)</f>
        <v>2000</v>
      </c>
    </row>
    <row r="13" spans="1:32" s="522" customFormat="1" ht="15.5" x14ac:dyDescent="0.35">
      <c r="A13" s="547" t="s">
        <v>630</v>
      </c>
      <c r="B13" s="550" t="s">
        <v>701</v>
      </c>
      <c r="C13" s="548" t="s">
        <v>700</v>
      </c>
      <c r="D13" s="553">
        <v>6</v>
      </c>
      <c r="E13" s="553" t="s">
        <v>699</v>
      </c>
      <c r="F13" s="552"/>
      <c r="G13" s="552"/>
      <c r="H13" s="552"/>
      <c r="I13" s="543"/>
      <c r="J13" s="543"/>
      <c r="K13" s="543"/>
      <c r="L13" s="543">
        <v>3400</v>
      </c>
      <c r="M13" s="543"/>
      <c r="N13" s="543"/>
      <c r="O13" s="543"/>
      <c r="P13" s="543"/>
      <c r="Q13" s="543"/>
      <c r="R13" s="543"/>
      <c r="S13" s="543"/>
      <c r="T13" s="544"/>
      <c r="U13" s="544"/>
      <c r="V13" s="544"/>
      <c r="W13" s="544"/>
      <c r="X13" s="544"/>
      <c r="Y13" s="544"/>
      <c r="Z13" s="551"/>
      <c r="AA13" s="551"/>
      <c r="AB13" s="551"/>
      <c r="AC13" s="541">
        <f>SUM(F13:AB13)</f>
        <v>3400</v>
      </c>
    </row>
    <row r="14" spans="1:32" s="522" customFormat="1" ht="15.5" x14ac:dyDescent="0.35">
      <c r="A14" s="547" t="s">
        <v>629</v>
      </c>
      <c r="B14" s="550" t="s">
        <v>698</v>
      </c>
      <c r="C14" s="548" t="s">
        <v>697</v>
      </c>
      <c r="D14" s="553">
        <v>6</v>
      </c>
      <c r="E14" s="553" t="s">
        <v>684</v>
      </c>
      <c r="F14" s="552"/>
      <c r="G14" s="552"/>
      <c r="H14" s="552"/>
      <c r="I14" s="543"/>
      <c r="J14" s="543"/>
      <c r="K14" s="543"/>
      <c r="L14" s="543">
        <v>3900</v>
      </c>
      <c r="M14" s="543"/>
      <c r="N14" s="543"/>
      <c r="O14" s="543"/>
      <c r="P14" s="543"/>
      <c r="Q14" s="543"/>
      <c r="R14" s="543"/>
      <c r="S14" s="543"/>
      <c r="T14" s="544"/>
      <c r="U14" s="544"/>
      <c r="V14" s="544"/>
      <c r="W14" s="544"/>
      <c r="X14" s="544"/>
      <c r="Y14" s="544"/>
      <c r="Z14" s="551"/>
      <c r="AA14" s="551"/>
      <c r="AB14" s="551"/>
      <c r="AC14" s="541">
        <f>SUM(F14:AB14)</f>
        <v>3900</v>
      </c>
    </row>
    <row r="15" spans="1:32" s="522" customFormat="1" ht="15.5" x14ac:dyDescent="0.35">
      <c r="A15" s="547" t="s">
        <v>652</v>
      </c>
      <c r="B15" s="550" t="s">
        <v>696</v>
      </c>
      <c r="C15" s="585" t="s">
        <v>695</v>
      </c>
      <c r="D15" s="553">
        <v>46</v>
      </c>
      <c r="E15" s="553" t="s">
        <v>694</v>
      </c>
      <c r="F15" s="552"/>
      <c r="G15" s="552"/>
      <c r="H15" s="552"/>
      <c r="I15" s="543"/>
      <c r="J15" s="543"/>
      <c r="K15" s="543"/>
      <c r="L15" s="543">
        <v>250</v>
      </c>
      <c r="M15" s="543"/>
      <c r="N15" s="543"/>
      <c r="O15" s="543">
        <v>250</v>
      </c>
      <c r="P15" s="543"/>
      <c r="Q15" s="543"/>
      <c r="R15" s="543"/>
      <c r="S15" s="543"/>
      <c r="T15" s="544"/>
      <c r="U15" s="544"/>
      <c r="V15" s="544"/>
      <c r="W15" s="544"/>
      <c r="X15" s="544"/>
      <c r="Y15" s="544"/>
      <c r="Z15" s="551"/>
      <c r="AA15" s="551"/>
      <c r="AB15" s="551"/>
      <c r="AC15" s="541">
        <f>SUM(F15:AB15)</f>
        <v>500</v>
      </c>
    </row>
    <row r="16" spans="1:32" s="522" customFormat="1" ht="15.5" x14ac:dyDescent="0.35">
      <c r="A16" s="547" t="s">
        <v>649</v>
      </c>
      <c r="B16" s="550" t="s">
        <v>693</v>
      </c>
      <c r="C16" s="585" t="s">
        <v>692</v>
      </c>
      <c r="D16" s="553">
        <v>7</v>
      </c>
      <c r="E16" s="553" t="s">
        <v>669</v>
      </c>
      <c r="F16" s="552"/>
      <c r="G16" s="552"/>
      <c r="H16" s="552"/>
      <c r="I16" s="543"/>
      <c r="J16" s="543"/>
      <c r="K16" s="543"/>
      <c r="L16" s="543">
        <v>8000</v>
      </c>
      <c r="M16" s="543"/>
      <c r="N16" s="543"/>
      <c r="O16" s="543"/>
      <c r="P16" s="543"/>
      <c r="Q16" s="543"/>
      <c r="R16" s="543"/>
      <c r="S16" s="543"/>
      <c r="T16" s="544"/>
      <c r="U16" s="544"/>
      <c r="V16" s="544"/>
      <c r="W16" s="544"/>
      <c r="X16" s="544"/>
      <c r="Y16" s="544"/>
      <c r="Z16" s="551"/>
      <c r="AA16" s="551"/>
      <c r="AB16" s="551"/>
      <c r="AC16" s="541">
        <f>SUM(F16:AB16)</f>
        <v>8000</v>
      </c>
    </row>
    <row r="17" spans="1:29" s="522" customFormat="1" ht="15.5" x14ac:dyDescent="0.35">
      <c r="A17" s="547" t="s">
        <v>646</v>
      </c>
      <c r="B17" s="550" t="s">
        <v>691</v>
      </c>
      <c r="C17" s="585" t="s">
        <v>690</v>
      </c>
      <c r="D17" s="553">
        <v>50</v>
      </c>
      <c r="E17" s="553" t="s">
        <v>375</v>
      </c>
      <c r="F17" s="552"/>
      <c r="G17" s="552"/>
      <c r="H17" s="552"/>
      <c r="I17" s="543"/>
      <c r="J17" s="543"/>
      <c r="K17" s="543"/>
      <c r="L17" s="543">
        <v>250</v>
      </c>
      <c r="M17" s="543"/>
      <c r="N17" s="543"/>
      <c r="O17" s="543">
        <v>250</v>
      </c>
      <c r="P17" s="543"/>
      <c r="Q17" s="543"/>
      <c r="R17" s="543"/>
      <c r="S17" s="543"/>
      <c r="T17" s="544"/>
      <c r="U17" s="544"/>
      <c r="V17" s="544"/>
      <c r="W17" s="544"/>
      <c r="X17" s="544"/>
      <c r="Y17" s="544"/>
      <c r="Z17" s="551"/>
      <c r="AA17" s="551"/>
      <c r="AB17" s="551"/>
      <c r="AC17" s="541">
        <f>SUM(F17:AB17)</f>
        <v>500</v>
      </c>
    </row>
    <row r="18" spans="1:29" s="522" customFormat="1" ht="15.5" x14ac:dyDescent="0.35">
      <c r="A18" s="547" t="s">
        <v>643</v>
      </c>
      <c r="B18" s="550" t="s">
        <v>689</v>
      </c>
      <c r="C18" s="585" t="s">
        <v>282</v>
      </c>
      <c r="D18" s="553">
        <v>4</v>
      </c>
      <c r="E18" s="553" t="s">
        <v>688</v>
      </c>
      <c r="F18" s="552"/>
      <c r="G18" s="552"/>
      <c r="H18" s="552"/>
      <c r="I18" s="543"/>
      <c r="J18" s="543"/>
      <c r="K18" s="543"/>
      <c r="L18" s="543">
        <v>4000</v>
      </c>
      <c r="M18" s="543"/>
      <c r="N18" s="543"/>
      <c r="O18" s="543"/>
      <c r="P18" s="543"/>
      <c r="Q18" s="543"/>
      <c r="R18" s="543"/>
      <c r="S18" s="543"/>
      <c r="T18" s="544"/>
      <c r="U18" s="544"/>
      <c r="V18" s="544"/>
      <c r="W18" s="544"/>
      <c r="X18" s="544"/>
      <c r="Y18" s="544"/>
      <c r="Z18" s="551"/>
      <c r="AA18" s="551"/>
      <c r="AB18" s="551"/>
      <c r="AC18" s="541">
        <f>SUM(F18:AB18)</f>
        <v>4000</v>
      </c>
    </row>
    <row r="19" spans="1:29" s="522" customFormat="1" ht="15.5" x14ac:dyDescent="0.35">
      <c r="A19" s="547" t="s">
        <v>407</v>
      </c>
      <c r="B19" s="550" t="s">
        <v>687</v>
      </c>
      <c r="C19" s="584" t="s">
        <v>273</v>
      </c>
      <c r="D19" s="545">
        <v>2</v>
      </c>
      <c r="E19" s="545" t="s">
        <v>686</v>
      </c>
      <c r="F19" s="543"/>
      <c r="G19" s="543"/>
      <c r="H19" s="543"/>
      <c r="I19" s="543"/>
      <c r="J19" s="543"/>
      <c r="K19" s="543"/>
      <c r="L19" s="543">
        <v>2000</v>
      </c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2"/>
      <c r="AA19" s="542"/>
      <c r="AB19" s="542"/>
      <c r="AC19" s="541">
        <f>SUM(F19:AB19)</f>
        <v>2000</v>
      </c>
    </row>
    <row r="20" spans="1:29" s="522" customFormat="1" ht="15.5" x14ac:dyDescent="0.35">
      <c r="A20" s="547" t="s">
        <v>639</v>
      </c>
      <c r="B20" s="550" t="s">
        <v>685</v>
      </c>
      <c r="C20" s="584" t="s">
        <v>275</v>
      </c>
      <c r="D20" s="545">
        <v>14</v>
      </c>
      <c r="E20" s="545" t="s">
        <v>684</v>
      </c>
      <c r="F20" s="543"/>
      <c r="G20" s="543"/>
      <c r="H20" s="543"/>
      <c r="I20" s="543"/>
      <c r="J20" s="543"/>
      <c r="K20" s="543"/>
      <c r="L20" s="543">
        <v>20000</v>
      </c>
      <c r="M20" s="543"/>
      <c r="N20" s="543"/>
      <c r="O20" s="543">
        <v>1500</v>
      </c>
      <c r="P20" s="543"/>
      <c r="Q20" s="543"/>
      <c r="R20" s="543"/>
      <c r="S20" s="543">
        <v>5000</v>
      </c>
      <c r="T20" s="543"/>
      <c r="U20" s="543"/>
      <c r="V20" s="543"/>
      <c r="W20" s="543"/>
      <c r="X20" s="543"/>
      <c r="Y20" s="543"/>
      <c r="Z20" s="542"/>
      <c r="AA20" s="542"/>
      <c r="AB20" s="542"/>
      <c r="AC20" s="541">
        <f>SUM(F20:AB20)</f>
        <v>26500</v>
      </c>
    </row>
    <row r="21" spans="1:29" s="522" customFormat="1" ht="15.5" x14ac:dyDescent="0.35">
      <c r="A21" s="547" t="s">
        <v>636</v>
      </c>
      <c r="B21" s="550" t="s">
        <v>683</v>
      </c>
      <c r="C21" s="548" t="s">
        <v>675</v>
      </c>
      <c r="D21" s="545">
        <v>2</v>
      </c>
      <c r="E21" s="545" t="s">
        <v>682</v>
      </c>
      <c r="F21" s="543"/>
      <c r="G21" s="543"/>
      <c r="H21" s="543"/>
      <c r="I21" s="543"/>
      <c r="J21" s="543"/>
      <c r="K21" s="543"/>
      <c r="L21" s="543">
        <v>2000</v>
      </c>
      <c r="M21" s="543"/>
      <c r="N21" s="543"/>
      <c r="O21" s="543"/>
      <c r="P21" s="543"/>
      <c r="Q21" s="543"/>
      <c r="R21" s="543"/>
      <c r="S21" s="543">
        <v>1000</v>
      </c>
      <c r="T21" s="543"/>
      <c r="U21" s="543"/>
      <c r="V21" s="543"/>
      <c r="W21" s="543"/>
      <c r="X21" s="543"/>
      <c r="Y21" s="543"/>
      <c r="Z21" s="542"/>
      <c r="AA21" s="542"/>
      <c r="AB21" s="542"/>
      <c r="AC21" s="541">
        <f>SUM(F21:AB21)</f>
        <v>3000</v>
      </c>
    </row>
    <row r="22" spans="1:29" s="522" customFormat="1" ht="15.5" x14ac:dyDescent="0.35">
      <c r="A22" s="547" t="s">
        <v>712</v>
      </c>
      <c r="B22" s="550" t="s">
        <v>681</v>
      </c>
      <c r="C22" s="548" t="s">
        <v>271</v>
      </c>
      <c r="D22" s="545">
        <v>14</v>
      </c>
      <c r="E22" s="545" t="s">
        <v>680</v>
      </c>
      <c r="F22" s="543"/>
      <c r="G22" s="543"/>
      <c r="H22" s="543"/>
      <c r="I22" s="543"/>
      <c r="J22" s="543"/>
      <c r="K22" s="543"/>
      <c r="L22" s="543">
        <v>10000</v>
      </c>
      <c r="M22" s="543"/>
      <c r="N22" s="543"/>
      <c r="O22" s="543">
        <v>1500</v>
      </c>
      <c r="P22" s="543"/>
      <c r="Q22" s="543"/>
      <c r="R22" s="543"/>
      <c r="S22" s="543">
        <v>675</v>
      </c>
      <c r="T22" s="543"/>
      <c r="U22" s="543"/>
      <c r="V22" s="543"/>
      <c r="W22" s="543"/>
      <c r="X22" s="543"/>
      <c r="Y22" s="543"/>
      <c r="Z22" s="542"/>
      <c r="AA22" s="542"/>
      <c r="AB22" s="542"/>
      <c r="AC22" s="541">
        <f>SUM(F22:AB22)</f>
        <v>12175</v>
      </c>
    </row>
    <row r="23" spans="1:29" s="522" customFormat="1" ht="15.5" x14ac:dyDescent="0.35">
      <c r="A23" s="547" t="s">
        <v>713</v>
      </c>
      <c r="B23" s="550" t="s">
        <v>679</v>
      </c>
      <c r="C23" s="548" t="s">
        <v>678</v>
      </c>
      <c r="D23" s="545">
        <v>40</v>
      </c>
      <c r="E23" s="545" t="s">
        <v>677</v>
      </c>
      <c r="F23" s="543"/>
      <c r="G23" s="543"/>
      <c r="H23" s="543"/>
      <c r="I23" s="543"/>
      <c r="J23" s="543"/>
      <c r="K23" s="543"/>
      <c r="L23" s="543">
        <v>250</v>
      </c>
      <c r="M23" s="543"/>
      <c r="N23" s="543"/>
      <c r="O23" s="543">
        <v>250</v>
      </c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2"/>
      <c r="AA23" s="542"/>
      <c r="AB23" s="542"/>
      <c r="AC23" s="541">
        <f>SUM(F23:AB23)</f>
        <v>500</v>
      </c>
    </row>
    <row r="24" spans="1:29" s="522" customFormat="1" ht="15.5" x14ac:dyDescent="0.35">
      <c r="A24" s="547" t="s">
        <v>714</v>
      </c>
      <c r="B24" s="550" t="s">
        <v>676</v>
      </c>
      <c r="C24" s="548" t="s">
        <v>675</v>
      </c>
      <c r="D24" s="545">
        <v>2</v>
      </c>
      <c r="E24" s="545" t="s">
        <v>674</v>
      </c>
      <c r="F24" s="543"/>
      <c r="G24" s="543"/>
      <c r="H24" s="543"/>
      <c r="I24" s="543"/>
      <c r="J24" s="543"/>
      <c r="K24" s="543"/>
      <c r="L24" s="543">
        <v>2000</v>
      </c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3"/>
      <c r="Y24" s="543"/>
      <c r="Z24" s="542"/>
      <c r="AA24" s="542"/>
      <c r="AB24" s="542"/>
      <c r="AC24" s="541">
        <f>SUM(F24:AB24)</f>
        <v>2000</v>
      </c>
    </row>
    <row r="25" spans="1:29" s="522" customFormat="1" ht="16" customHeight="1" x14ac:dyDescent="0.35">
      <c r="A25" s="547" t="s">
        <v>715</v>
      </c>
      <c r="B25" s="550" t="s">
        <v>673</v>
      </c>
      <c r="C25" s="548" t="s">
        <v>672</v>
      </c>
      <c r="D25" s="545">
        <v>500</v>
      </c>
      <c r="E25" s="545" t="s">
        <v>145</v>
      </c>
      <c r="F25" s="543"/>
      <c r="G25" s="543"/>
      <c r="H25" s="543"/>
      <c r="I25" s="543"/>
      <c r="J25" s="543"/>
      <c r="K25" s="543">
        <v>500</v>
      </c>
      <c r="L25" s="543"/>
      <c r="M25" s="543"/>
      <c r="N25" s="543"/>
      <c r="O25" s="543"/>
      <c r="P25" s="543"/>
      <c r="Q25" s="543"/>
      <c r="R25" s="543">
        <v>4500</v>
      </c>
      <c r="S25" s="543">
        <v>5000</v>
      </c>
      <c r="T25" s="543"/>
      <c r="U25" s="543"/>
      <c r="V25" s="543"/>
      <c r="W25" s="543"/>
      <c r="X25" s="543"/>
      <c r="Y25" s="543"/>
      <c r="Z25" s="542"/>
      <c r="AA25" s="542"/>
      <c r="AB25" s="542"/>
      <c r="AC25" s="541">
        <f>SUM(F25:AB25)</f>
        <v>10000</v>
      </c>
    </row>
    <row r="26" spans="1:29" s="522" customFormat="1" ht="15.5" x14ac:dyDescent="0.35">
      <c r="A26" s="547" t="s">
        <v>716</v>
      </c>
      <c r="B26" s="550" t="s">
        <v>671</v>
      </c>
      <c r="C26" s="548" t="s">
        <v>670</v>
      </c>
      <c r="D26" s="545">
        <v>2</v>
      </c>
      <c r="E26" s="545" t="s">
        <v>669</v>
      </c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>
        <v>4000</v>
      </c>
      <c r="T26" s="543"/>
      <c r="U26" s="543"/>
      <c r="V26" s="543"/>
      <c r="W26" s="543"/>
      <c r="X26" s="543"/>
      <c r="Y26" s="543"/>
      <c r="Z26" s="542"/>
      <c r="AA26" s="542"/>
      <c r="AB26" s="542"/>
      <c r="AC26" s="541">
        <f>SUM(F26:AB26)</f>
        <v>4000</v>
      </c>
    </row>
    <row r="27" spans="1:29" s="522" customFormat="1" ht="15.5" x14ac:dyDescent="0.35">
      <c r="A27" s="547" t="s">
        <v>717</v>
      </c>
      <c r="B27" s="545" t="s">
        <v>659</v>
      </c>
      <c r="C27" s="548" t="s">
        <v>668</v>
      </c>
      <c r="D27" s="545">
        <v>20</v>
      </c>
      <c r="E27" s="545" t="s">
        <v>145</v>
      </c>
      <c r="F27" s="543"/>
      <c r="G27" s="543"/>
      <c r="H27" s="543"/>
      <c r="I27" s="543"/>
      <c r="J27" s="543"/>
      <c r="K27" s="543">
        <v>2000</v>
      </c>
      <c r="L27" s="543"/>
      <c r="M27" s="543"/>
      <c r="N27" s="543"/>
      <c r="O27" s="543">
        <v>4000</v>
      </c>
      <c r="P27" s="543"/>
      <c r="Q27" s="543"/>
      <c r="R27" s="543">
        <v>2000</v>
      </c>
      <c r="S27" s="543"/>
      <c r="T27" s="543"/>
      <c r="U27" s="543"/>
      <c r="V27" s="543"/>
      <c r="W27" s="543"/>
      <c r="X27" s="543"/>
      <c r="Y27" s="543"/>
      <c r="Z27" s="542"/>
      <c r="AA27" s="542"/>
      <c r="AB27" s="542"/>
      <c r="AC27" s="541">
        <f>SUM(F27:AB27)</f>
        <v>8000</v>
      </c>
    </row>
    <row r="28" spans="1:29" s="522" customFormat="1" ht="15.5" x14ac:dyDescent="0.35">
      <c r="A28" s="547" t="s">
        <v>718</v>
      </c>
      <c r="B28" s="545" t="s">
        <v>667</v>
      </c>
      <c r="C28" s="548" t="s">
        <v>666</v>
      </c>
      <c r="D28" s="545">
        <v>50</v>
      </c>
      <c r="E28" s="545" t="s">
        <v>665</v>
      </c>
      <c r="F28" s="543"/>
      <c r="G28" s="543"/>
      <c r="H28" s="543"/>
      <c r="I28" s="543"/>
      <c r="J28" s="543"/>
      <c r="K28" s="543"/>
      <c r="L28" s="543">
        <v>250</v>
      </c>
      <c r="M28" s="543"/>
      <c r="N28" s="543"/>
      <c r="O28" s="543">
        <v>250</v>
      </c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2"/>
      <c r="AA28" s="542"/>
      <c r="AB28" s="542"/>
      <c r="AC28" s="541">
        <f>SUM(F28:AB28)</f>
        <v>500</v>
      </c>
    </row>
    <row r="29" spans="1:29" s="522" customFormat="1" ht="15.5" x14ac:dyDescent="0.35">
      <c r="A29" s="547" t="s">
        <v>719</v>
      </c>
      <c r="B29" s="545" t="s">
        <v>664</v>
      </c>
      <c r="C29" s="548" t="s">
        <v>278</v>
      </c>
      <c r="D29" s="545">
        <v>2</v>
      </c>
      <c r="E29" s="545" t="s">
        <v>663</v>
      </c>
      <c r="F29" s="543"/>
      <c r="G29" s="543"/>
      <c r="H29" s="543"/>
      <c r="I29" s="543"/>
      <c r="J29" s="543"/>
      <c r="K29" s="543"/>
      <c r="L29" s="543">
        <v>2000</v>
      </c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2"/>
      <c r="AA29" s="542"/>
      <c r="AB29" s="542"/>
      <c r="AC29" s="541">
        <f>SUM(F29:AB29)</f>
        <v>2000</v>
      </c>
    </row>
    <row r="30" spans="1:29" s="522" customFormat="1" ht="15.5" x14ac:dyDescent="0.35">
      <c r="A30" s="547" t="s">
        <v>720</v>
      </c>
      <c r="B30" s="550" t="s">
        <v>628</v>
      </c>
      <c r="C30" s="584" t="s">
        <v>421</v>
      </c>
      <c r="D30" s="545"/>
      <c r="E30" s="545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>
        <v>2500</v>
      </c>
      <c r="Q30" s="543"/>
      <c r="R30" s="543">
        <v>2050</v>
      </c>
      <c r="S30" s="543"/>
      <c r="T30" s="543"/>
      <c r="U30" s="543"/>
      <c r="V30" s="543"/>
      <c r="W30" s="543"/>
      <c r="X30" s="543"/>
      <c r="Y30" s="543"/>
      <c r="Z30" s="542"/>
      <c r="AA30" s="542"/>
      <c r="AB30" s="542"/>
      <c r="AC30" s="541">
        <f>SUM(F30:AB30)</f>
        <v>4550</v>
      </c>
    </row>
    <row r="31" spans="1:29" s="522" customFormat="1" ht="15.5" x14ac:dyDescent="0.35">
      <c r="A31" s="547"/>
      <c r="B31" s="545"/>
      <c r="C31" s="548"/>
      <c r="D31" s="545"/>
      <c r="E31" s="545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2"/>
      <c r="AA31" s="542"/>
      <c r="AB31" s="542"/>
      <c r="AC31" s="541">
        <f>SUM(F31:AB31)</f>
        <v>0</v>
      </c>
    </row>
    <row r="32" spans="1:29" s="522" customFormat="1" ht="15.5" x14ac:dyDescent="0.35">
      <c r="A32" s="547"/>
      <c r="B32" s="545"/>
      <c r="C32" s="548"/>
      <c r="D32" s="545"/>
      <c r="E32" s="545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  <c r="R32" s="543"/>
      <c r="S32" s="543"/>
      <c r="T32" s="543"/>
      <c r="U32" s="543"/>
      <c r="V32" s="543"/>
      <c r="W32" s="543"/>
      <c r="X32" s="543"/>
      <c r="Y32" s="543"/>
      <c r="Z32" s="542"/>
      <c r="AA32" s="542"/>
      <c r="AB32" s="542"/>
      <c r="AC32" s="541">
        <f>SUM(F32:AB32)</f>
        <v>0</v>
      </c>
    </row>
    <row r="33" spans="1:29" s="522" customFormat="1" ht="15.5" x14ac:dyDescent="0.35">
      <c r="A33" s="547"/>
      <c r="B33" s="545"/>
      <c r="C33" s="546"/>
      <c r="D33" s="545"/>
      <c r="E33" s="545"/>
      <c r="F33" s="543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2"/>
      <c r="AA33" s="542"/>
      <c r="AB33" s="542"/>
      <c r="AC33" s="541">
        <f>SUM(F33:AB33)</f>
        <v>0</v>
      </c>
    </row>
    <row r="34" spans="1:29" s="522" customFormat="1" ht="15.5" x14ac:dyDescent="0.35">
      <c r="A34" s="547"/>
      <c r="B34" s="545"/>
      <c r="C34" s="548"/>
      <c r="D34" s="545"/>
      <c r="E34" s="545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2"/>
      <c r="AA34" s="542"/>
      <c r="AB34" s="542"/>
      <c r="AC34" s="541">
        <f>SUM(F34:AB34)</f>
        <v>0</v>
      </c>
    </row>
    <row r="35" spans="1:29" s="522" customFormat="1" ht="15.5" x14ac:dyDescent="0.35">
      <c r="A35" s="547"/>
      <c r="B35" s="545"/>
      <c r="C35" s="548"/>
      <c r="D35" s="545"/>
      <c r="E35" s="545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3"/>
      <c r="Z35" s="542"/>
      <c r="AA35" s="542"/>
      <c r="AB35" s="542"/>
      <c r="AC35" s="541">
        <f>SUM(F35:AB35)</f>
        <v>0</v>
      </c>
    </row>
    <row r="36" spans="1:29" s="522" customFormat="1" ht="15.5" x14ac:dyDescent="0.35">
      <c r="A36" s="547"/>
      <c r="B36" s="545"/>
      <c r="C36" s="548"/>
      <c r="D36" s="545"/>
      <c r="E36" s="545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  <c r="W36" s="543"/>
      <c r="X36" s="543"/>
      <c r="Y36" s="543"/>
      <c r="Z36" s="542"/>
      <c r="AA36" s="542"/>
      <c r="AB36" s="542"/>
      <c r="AC36" s="541">
        <f>SUM(F36:AB36)</f>
        <v>0</v>
      </c>
    </row>
    <row r="37" spans="1:29" s="522" customFormat="1" ht="15.5" x14ac:dyDescent="0.35">
      <c r="A37" s="547"/>
      <c r="B37" s="545"/>
      <c r="C37" s="546"/>
      <c r="D37" s="545"/>
      <c r="E37" s="545"/>
      <c r="F37" s="544"/>
      <c r="G37" s="544"/>
      <c r="H37" s="544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  <c r="W37" s="543"/>
      <c r="X37" s="543"/>
      <c r="Y37" s="543"/>
      <c r="Z37" s="542"/>
      <c r="AA37" s="542"/>
      <c r="AB37" s="542"/>
      <c r="AC37" s="541">
        <f>SUM(F37:AB37)</f>
        <v>0</v>
      </c>
    </row>
    <row r="38" spans="1:29" s="522" customFormat="1" ht="16" thickBot="1" x14ac:dyDescent="0.4">
      <c r="A38" s="540"/>
      <c r="B38" s="538" t="s">
        <v>344</v>
      </c>
      <c r="C38" s="538" t="s">
        <v>344</v>
      </c>
      <c r="D38" s="539"/>
      <c r="E38" s="538" t="s">
        <v>344</v>
      </c>
      <c r="F38" s="537">
        <f>SUM(F10:F37)</f>
        <v>0</v>
      </c>
      <c r="G38" s="537">
        <f>SUM(G10:G37)</f>
        <v>0</v>
      </c>
      <c r="H38" s="537">
        <f>SUM(H10:H37)</f>
        <v>0</v>
      </c>
      <c r="I38" s="537">
        <f>SUM(I10:I37)</f>
        <v>0</v>
      </c>
      <c r="J38" s="537">
        <f>SUM(J10:J37)</f>
        <v>0</v>
      </c>
      <c r="K38" s="537">
        <f>SUM(K10:K37)</f>
        <v>2500</v>
      </c>
      <c r="L38" s="537">
        <f>SUM(L10:L37)</f>
        <v>63300</v>
      </c>
      <c r="M38" s="537">
        <f>SUM(M10:M37)</f>
        <v>0</v>
      </c>
      <c r="N38" s="537">
        <f>SUM(N10:N37)</f>
        <v>0</v>
      </c>
      <c r="O38" s="537">
        <f>SUM(O10:O37)</f>
        <v>8000</v>
      </c>
      <c r="P38" s="537">
        <f>SUM(P10:P37)</f>
        <v>2500</v>
      </c>
      <c r="Q38" s="537">
        <f>SUM(Q10:Q37)</f>
        <v>0</v>
      </c>
      <c r="R38" s="537">
        <f>SUM(R10:R37)</f>
        <v>8550</v>
      </c>
      <c r="S38" s="537">
        <f>SUM(S10:S37)</f>
        <v>15675</v>
      </c>
      <c r="T38" s="537">
        <f>SUM(T10:T37)</f>
        <v>0</v>
      </c>
      <c r="U38" s="537">
        <f>SUM(U10:U37)</f>
        <v>0</v>
      </c>
      <c r="V38" s="537">
        <f>SUM(V10:V37)</f>
        <v>0</v>
      </c>
      <c r="W38" s="537">
        <f>SUM(W10:W37)</f>
        <v>0</v>
      </c>
      <c r="X38" s="537">
        <f>SUM(X10:X37)</f>
        <v>0</v>
      </c>
      <c r="Y38" s="537">
        <f>SUM(Y10:Y37)</f>
        <v>0</v>
      </c>
      <c r="Z38" s="537">
        <f>SUM(Z10:Z37)</f>
        <v>0</v>
      </c>
      <c r="AA38" s="537">
        <f>SUM(AA10:AA37)</f>
        <v>0</v>
      </c>
      <c r="AB38" s="537">
        <f>SUM(AB10:AB37)</f>
        <v>0</v>
      </c>
      <c r="AC38" s="536">
        <f>SUM(AC10:AC37)</f>
        <v>100525</v>
      </c>
    </row>
    <row r="39" spans="1:29" s="522" customFormat="1" ht="15.5" x14ac:dyDescent="0.35">
      <c r="A39" s="535"/>
      <c r="B39" s="533"/>
      <c r="C39" s="533"/>
      <c r="D39" s="534"/>
      <c r="E39" s="533"/>
      <c r="F39" s="532"/>
      <c r="G39" s="532"/>
      <c r="H39" s="532"/>
      <c r="I39" s="531"/>
      <c r="J39" s="531"/>
      <c r="K39" s="531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29"/>
    </row>
    <row r="41" spans="1:29" ht="15.5" x14ac:dyDescent="0.35">
      <c r="B41" s="524"/>
      <c r="C41" s="522"/>
      <c r="D41" s="522"/>
      <c r="E41" s="528" t="s">
        <v>626</v>
      </c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8"/>
      <c r="W41" s="528"/>
      <c r="X41" s="528"/>
      <c r="Y41" s="528"/>
      <c r="Z41" s="528"/>
      <c r="AA41" s="528"/>
      <c r="AB41" s="528"/>
      <c r="AC41" s="528"/>
    </row>
    <row r="42" spans="1:29" ht="15.5" x14ac:dyDescent="0.35">
      <c r="B42" s="524"/>
      <c r="C42" s="522"/>
      <c r="D42" s="522"/>
      <c r="E42" s="522"/>
      <c r="F42" s="522"/>
      <c r="G42" s="522"/>
      <c r="H42" s="522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7"/>
      <c r="T42" s="527"/>
      <c r="U42" s="527"/>
      <c r="V42" s="527"/>
      <c r="W42" s="527"/>
      <c r="X42" s="526"/>
    </row>
    <row r="43" spans="1:29" x14ac:dyDescent="0.3">
      <c r="B43" s="516"/>
      <c r="C43" s="520"/>
      <c r="D43" s="520"/>
      <c r="E43" s="520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7"/>
      <c r="T43" s="517"/>
      <c r="U43" s="517"/>
      <c r="V43" s="517"/>
      <c r="W43" s="518"/>
      <c r="X43" s="517"/>
      <c r="Y43" s="517"/>
      <c r="Z43" s="517"/>
      <c r="AA43" s="517"/>
      <c r="AB43" s="517"/>
      <c r="AC43" s="517"/>
    </row>
    <row r="44" spans="1:29" x14ac:dyDescent="0.3">
      <c r="B44" s="516"/>
      <c r="C44" s="520"/>
      <c r="D44" s="520"/>
      <c r="E44" s="520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</row>
    <row r="45" spans="1:29" ht="15.5" x14ac:dyDescent="0.35">
      <c r="B45" s="524"/>
      <c r="C45" s="523"/>
      <c r="D45" s="523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2"/>
      <c r="T45" s="522"/>
      <c r="U45" s="522"/>
      <c r="V45" s="522"/>
      <c r="W45" s="522"/>
      <c r="X45" s="522"/>
    </row>
    <row r="46" spans="1:29" ht="15.5" x14ac:dyDescent="0.35">
      <c r="C46" s="522"/>
      <c r="D46" s="522"/>
      <c r="E46" s="521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W46" s="516"/>
    </row>
    <row r="47" spans="1:29" x14ac:dyDescent="0.3">
      <c r="B47" s="516"/>
      <c r="C47" s="520"/>
      <c r="D47" s="520"/>
      <c r="E47" s="520"/>
      <c r="F47" s="519"/>
      <c r="G47" s="519"/>
      <c r="H47" s="519"/>
      <c r="I47" s="519"/>
      <c r="J47" s="519"/>
      <c r="K47" s="519"/>
      <c r="L47" s="519"/>
      <c r="M47" s="519"/>
      <c r="N47" s="519"/>
      <c r="O47" s="519"/>
      <c r="P47" s="519"/>
      <c r="Q47" s="519"/>
      <c r="R47" s="519"/>
      <c r="S47" s="517"/>
      <c r="T47" s="517"/>
      <c r="U47" s="517"/>
      <c r="V47" s="517"/>
      <c r="W47" s="518"/>
      <c r="X47" s="517"/>
      <c r="Y47" s="517"/>
      <c r="Z47" s="517"/>
      <c r="AA47" s="517"/>
      <c r="AB47" s="517"/>
      <c r="AC47" s="517"/>
    </row>
  </sheetData>
  <mergeCells count="3">
    <mergeCell ref="F1:T1"/>
    <mergeCell ref="X1:AC1"/>
    <mergeCell ref="E41:AC41"/>
  </mergeCells>
  <phoneticPr fontId="7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1AAB-2165-C940-8DA5-8D88E56C3AB1}">
  <dimension ref="A1:N18"/>
  <sheetViews>
    <sheetView workbookViewId="0">
      <selection activeCell="K2" sqref="K2"/>
    </sheetView>
  </sheetViews>
  <sheetFormatPr defaultColWidth="11.5" defaultRowHeight="15.5" x14ac:dyDescent="0.35"/>
  <cols>
    <col min="2" max="2" width="13.33203125" customWidth="1"/>
    <col min="3" max="4" width="12" style="91" customWidth="1"/>
    <col min="5" max="11" width="11.5" style="91"/>
  </cols>
  <sheetData>
    <row r="1" spans="1:14" ht="27" thickBot="1" x14ac:dyDescent="0.4">
      <c r="A1" s="112">
        <v>2021</v>
      </c>
      <c r="B1" s="113" t="s">
        <v>40</v>
      </c>
      <c r="C1" s="114" t="s">
        <v>100</v>
      </c>
      <c r="D1" s="112">
        <v>2022</v>
      </c>
      <c r="E1" s="113" t="s">
        <v>40</v>
      </c>
      <c r="F1" s="114" t="s">
        <v>100</v>
      </c>
      <c r="G1" s="112">
        <v>2023</v>
      </c>
      <c r="H1" s="113" t="s">
        <v>40</v>
      </c>
      <c r="I1" s="114" t="s">
        <v>100</v>
      </c>
      <c r="J1" s="112">
        <v>2024</v>
      </c>
      <c r="K1" s="113" t="s">
        <v>40</v>
      </c>
      <c r="L1" s="114" t="s">
        <v>100</v>
      </c>
    </row>
    <row r="2" spans="1:14" x14ac:dyDescent="0.35">
      <c r="A2" s="110" t="s">
        <v>1</v>
      </c>
      <c r="B2" s="30">
        <v>648.77</v>
      </c>
      <c r="C2" s="111"/>
      <c r="D2" s="110" t="s">
        <v>1</v>
      </c>
      <c r="E2" s="140">
        <v>1243.8699999999999</v>
      </c>
      <c r="F2" s="111">
        <v>1140</v>
      </c>
      <c r="G2" s="110" t="s">
        <v>1</v>
      </c>
      <c r="H2" s="140">
        <v>1550</v>
      </c>
      <c r="I2" s="111"/>
      <c r="J2" s="110" t="s">
        <v>1</v>
      </c>
      <c r="K2" s="140">
        <v>1490</v>
      </c>
      <c r="L2" s="111"/>
    </row>
    <row r="3" spans="1:14" x14ac:dyDescent="0.35">
      <c r="A3" s="105" t="s">
        <v>2</v>
      </c>
      <c r="B3" s="140">
        <v>392.6</v>
      </c>
      <c r="C3" s="34">
        <v>160</v>
      </c>
      <c r="D3" s="105" t="s">
        <v>2</v>
      </c>
      <c r="E3" s="140">
        <v>3527</v>
      </c>
      <c r="F3" s="34">
        <v>2960</v>
      </c>
      <c r="G3" s="105" t="s">
        <v>2</v>
      </c>
      <c r="H3" s="140">
        <v>5645</v>
      </c>
      <c r="I3" s="34">
        <v>1900</v>
      </c>
      <c r="J3" s="105" t="s">
        <v>2</v>
      </c>
      <c r="K3" s="140"/>
      <c r="L3" s="34"/>
    </row>
    <row r="4" spans="1:14" x14ac:dyDescent="0.35">
      <c r="A4" s="105" t="s">
        <v>3</v>
      </c>
      <c r="B4" s="140">
        <v>1095</v>
      </c>
      <c r="C4" s="34">
        <v>810</v>
      </c>
      <c r="D4" s="105" t="s">
        <v>3</v>
      </c>
      <c r="E4" s="140">
        <v>4510.7700000000004</v>
      </c>
      <c r="F4" s="34">
        <v>400</v>
      </c>
      <c r="G4" s="105" t="s">
        <v>3</v>
      </c>
      <c r="H4" s="140">
        <v>7843</v>
      </c>
      <c r="I4" s="34">
        <v>1640</v>
      </c>
      <c r="J4" s="105" t="s">
        <v>3</v>
      </c>
      <c r="K4" s="140"/>
      <c r="L4" s="34"/>
    </row>
    <row r="5" spans="1:14" x14ac:dyDescent="0.35">
      <c r="A5" s="105" t="s">
        <v>4</v>
      </c>
      <c r="B5" s="140">
        <v>1413</v>
      </c>
      <c r="C5" s="34">
        <v>720</v>
      </c>
      <c r="D5" s="105" t="s">
        <v>4</v>
      </c>
      <c r="E5" s="140">
        <v>7622.94</v>
      </c>
      <c r="F5" s="34"/>
      <c r="G5" s="105" t="s">
        <v>4</v>
      </c>
      <c r="H5" s="140">
        <v>6880.36</v>
      </c>
      <c r="I5" s="34">
        <v>1900</v>
      </c>
      <c r="J5" s="105" t="s">
        <v>4</v>
      </c>
      <c r="K5" s="140"/>
      <c r="L5" s="34"/>
      <c r="M5" s="91"/>
    </row>
    <row r="6" spans="1:14" x14ac:dyDescent="0.35">
      <c r="A6" s="105" t="s">
        <v>101</v>
      </c>
      <c r="B6" s="140">
        <v>3360</v>
      </c>
      <c r="C6" s="34">
        <v>1440</v>
      </c>
      <c r="D6" s="105" t="s">
        <v>101</v>
      </c>
      <c r="E6" s="140">
        <v>2946.559999999999</v>
      </c>
      <c r="F6" s="34"/>
      <c r="G6" s="105" t="s">
        <v>101</v>
      </c>
      <c r="H6" s="140">
        <v>2607</v>
      </c>
      <c r="I6" s="34"/>
      <c r="J6" s="105" t="s">
        <v>101</v>
      </c>
      <c r="K6" s="140"/>
      <c r="L6" s="34"/>
      <c r="M6" s="191"/>
      <c r="N6" s="137"/>
    </row>
    <row r="7" spans="1:14" x14ac:dyDescent="0.35">
      <c r="A7" s="105" t="s">
        <v>6</v>
      </c>
      <c r="B7" s="140">
        <v>9612</v>
      </c>
      <c r="C7" s="34">
        <v>240</v>
      </c>
      <c r="D7" s="105" t="s">
        <v>6</v>
      </c>
      <c r="E7" s="140">
        <v>1849.4</v>
      </c>
      <c r="F7" s="34"/>
      <c r="G7" s="105" t="s">
        <v>6</v>
      </c>
      <c r="H7" s="140">
        <v>2107</v>
      </c>
      <c r="I7" s="34"/>
      <c r="J7" s="105" t="s">
        <v>6</v>
      </c>
      <c r="K7" s="140"/>
      <c r="L7" s="34"/>
    </row>
    <row r="8" spans="1:14" x14ac:dyDescent="0.35">
      <c r="A8" s="105" t="s">
        <v>7</v>
      </c>
      <c r="B8" s="140">
        <v>3802</v>
      </c>
      <c r="C8" s="34">
        <v>80</v>
      </c>
      <c r="D8" s="105" t="s">
        <v>7</v>
      </c>
      <c r="E8" s="140">
        <v>731.48</v>
      </c>
      <c r="F8" s="34">
        <v>160</v>
      </c>
      <c r="G8" s="105" t="s">
        <v>7</v>
      </c>
      <c r="H8" s="140">
        <v>851</v>
      </c>
      <c r="I8" s="34"/>
      <c r="J8" s="105" t="s">
        <v>7</v>
      </c>
      <c r="K8" s="140"/>
      <c r="L8" s="34"/>
    </row>
    <row r="9" spans="1:14" x14ac:dyDescent="0.35">
      <c r="A9" s="105" t="s">
        <v>8</v>
      </c>
      <c r="B9" s="140">
        <v>1491</v>
      </c>
      <c r="C9" s="34"/>
      <c r="D9" s="105" t="s">
        <v>8</v>
      </c>
      <c r="E9" s="140">
        <v>710.81</v>
      </c>
      <c r="F9" s="34"/>
      <c r="G9" s="105" t="s">
        <v>8</v>
      </c>
      <c r="H9" s="140">
        <v>735</v>
      </c>
      <c r="I9" s="34"/>
      <c r="J9" s="105" t="s">
        <v>8</v>
      </c>
      <c r="K9" s="140"/>
      <c r="L9" s="34"/>
    </row>
    <row r="10" spans="1:14" x14ac:dyDescent="0.35">
      <c r="A10" s="105" t="s">
        <v>9</v>
      </c>
      <c r="B10" s="140">
        <v>235</v>
      </c>
      <c r="C10" s="34">
        <v>80</v>
      </c>
      <c r="D10" s="105" t="s">
        <v>9</v>
      </c>
      <c r="E10" s="140">
        <v>229.36</v>
      </c>
      <c r="F10" s="34"/>
      <c r="G10" s="105" t="s">
        <v>9</v>
      </c>
      <c r="H10" s="140">
        <v>541</v>
      </c>
      <c r="I10" s="34"/>
      <c r="J10" s="105" t="s">
        <v>9</v>
      </c>
      <c r="K10" s="140"/>
      <c r="L10" s="34"/>
    </row>
    <row r="11" spans="1:14" x14ac:dyDescent="0.35">
      <c r="A11" s="105" t="s">
        <v>102</v>
      </c>
      <c r="B11" s="140">
        <v>66.12</v>
      </c>
      <c r="C11" s="34">
        <v>80</v>
      </c>
      <c r="D11" s="105" t="s">
        <v>102</v>
      </c>
      <c r="E11" s="140">
        <v>12.4</v>
      </c>
      <c r="F11" s="34"/>
      <c r="G11" s="105" t="s">
        <v>102</v>
      </c>
      <c r="H11" s="140">
        <v>5833</v>
      </c>
      <c r="I11" s="34"/>
      <c r="J11" s="105" t="s">
        <v>102</v>
      </c>
      <c r="K11" s="140"/>
      <c r="L11" s="34"/>
    </row>
    <row r="12" spans="1:14" x14ac:dyDescent="0.35">
      <c r="A12" s="105" t="s">
        <v>11</v>
      </c>
      <c r="B12" s="160">
        <v>5000</v>
      </c>
      <c r="C12" s="106"/>
      <c r="D12" s="105" t="s">
        <v>11</v>
      </c>
      <c r="E12" s="140">
        <v>6233</v>
      </c>
      <c r="F12" s="106"/>
      <c r="G12" s="105" t="s">
        <v>11</v>
      </c>
      <c r="H12" s="140">
        <v>16</v>
      </c>
      <c r="I12" s="106"/>
      <c r="J12" s="105" t="s">
        <v>11</v>
      </c>
      <c r="K12" s="140"/>
      <c r="L12" s="106"/>
    </row>
    <row r="13" spans="1:14" x14ac:dyDescent="0.35">
      <c r="A13" s="105" t="s">
        <v>12</v>
      </c>
      <c r="B13" s="103">
        <v>132.24</v>
      </c>
      <c r="C13" s="106">
        <v>80</v>
      </c>
      <c r="D13" s="105" t="s">
        <v>12</v>
      </c>
      <c r="E13" s="140">
        <v>128.1</v>
      </c>
      <c r="F13" s="161"/>
      <c r="G13" s="105" t="s">
        <v>12</v>
      </c>
      <c r="H13" s="140">
        <v>66</v>
      </c>
      <c r="I13" s="161"/>
      <c r="J13" s="105" t="s">
        <v>12</v>
      </c>
      <c r="K13" s="140"/>
      <c r="L13" s="161"/>
    </row>
    <row r="14" spans="1:14" ht="16" thickBot="1" x14ac:dyDescent="0.4">
      <c r="A14" s="107" t="s">
        <v>80</v>
      </c>
      <c r="B14" s="108">
        <f>SUM(B2:B13)</f>
        <v>27247.73</v>
      </c>
      <c r="C14" s="109">
        <f>SUM(C2:C13)</f>
        <v>3690</v>
      </c>
      <c r="D14" s="107" t="s">
        <v>80</v>
      </c>
      <c r="E14" s="108">
        <f>SUM(E2:E13)</f>
        <v>29745.69</v>
      </c>
      <c r="F14" s="109">
        <f>SUM(F2:F13)</f>
        <v>4660</v>
      </c>
      <c r="G14" s="107" t="s">
        <v>80</v>
      </c>
      <c r="H14" s="108">
        <f>SUM(H2:H13)</f>
        <v>34674.36</v>
      </c>
      <c r="I14" s="109">
        <f>SUM(I2:I13)</f>
        <v>5440</v>
      </c>
      <c r="J14" s="107" t="s">
        <v>80</v>
      </c>
      <c r="K14" s="108">
        <f>SUM(K2:K13)</f>
        <v>1490</v>
      </c>
      <c r="L14" s="109">
        <f>SUM(L2:L13)</f>
        <v>0</v>
      </c>
    </row>
    <row r="15" spans="1:14" x14ac:dyDescent="0.35">
      <c r="A15" s="110" t="s">
        <v>144</v>
      </c>
      <c r="B15" s="140" t="s">
        <v>405</v>
      </c>
      <c r="C15" s="111" t="s">
        <v>406</v>
      </c>
      <c r="D15" s="110" t="s">
        <v>144</v>
      </c>
      <c r="E15" s="140" t="s">
        <v>405</v>
      </c>
      <c r="F15" s="111" t="s">
        <v>406</v>
      </c>
      <c r="G15" s="110" t="s">
        <v>144</v>
      </c>
      <c r="H15" s="140" t="s">
        <v>405</v>
      </c>
      <c r="I15" s="111" t="s">
        <v>406</v>
      </c>
      <c r="J15" s="110" t="s">
        <v>144</v>
      </c>
      <c r="K15" s="140" t="s">
        <v>405</v>
      </c>
      <c r="L15" s="111" t="s">
        <v>406</v>
      </c>
    </row>
    <row r="16" spans="1:14" x14ac:dyDescent="0.35">
      <c r="A16" s="105">
        <v>1206</v>
      </c>
      <c r="B16" s="140">
        <v>1122</v>
      </c>
      <c r="C16" s="34">
        <v>84</v>
      </c>
      <c r="D16" s="105">
        <v>1276</v>
      </c>
      <c r="E16" s="140">
        <v>1185</v>
      </c>
      <c r="F16" s="34">
        <v>91</v>
      </c>
      <c r="G16" s="105">
        <v>1288</v>
      </c>
      <c r="H16" s="140">
        <v>1179</v>
      </c>
      <c r="I16" s="34">
        <v>109</v>
      </c>
      <c r="J16" s="105"/>
      <c r="K16" s="140"/>
      <c r="L16" s="34"/>
    </row>
    <row r="17" spans="4:12" x14ac:dyDescent="0.35">
      <c r="D17" s="287">
        <f>(D16-A16)/A16</f>
        <v>5.8043117744610281E-2</v>
      </c>
      <c r="G17" s="287">
        <f>(G16-D16)/D16</f>
        <v>9.4043887147335428E-3</v>
      </c>
      <c r="H17" s="286"/>
      <c r="J17" s="287"/>
      <c r="K17" s="286"/>
      <c r="L17" s="91"/>
    </row>
    <row r="18" spans="4:12" x14ac:dyDescent="0.35">
      <c r="H18" s="286">
        <f>(H14-E14)/E14</f>
        <v>0.16569358451594171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DF4C-315A-C54E-945A-05FCDF3F2F5A}">
  <dimension ref="A1:N73"/>
  <sheetViews>
    <sheetView workbookViewId="0">
      <selection activeCell="B18" sqref="B18"/>
    </sheetView>
  </sheetViews>
  <sheetFormatPr defaultColWidth="10.6640625" defaultRowHeight="15.5" x14ac:dyDescent="0.35"/>
  <cols>
    <col min="1" max="1" width="32.1640625" bestFit="1" customWidth="1"/>
    <col min="2" max="13" width="10.83203125" style="91"/>
  </cols>
  <sheetData>
    <row r="1" spans="1:14" ht="19" customHeight="1" x14ac:dyDescent="0.35">
      <c r="A1" s="167"/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101</v>
      </c>
      <c r="G1" s="168" t="s">
        <v>6</v>
      </c>
      <c r="H1" s="168" t="s">
        <v>7</v>
      </c>
      <c r="I1" s="168" t="s">
        <v>8</v>
      </c>
      <c r="J1" s="168" t="s">
        <v>9</v>
      </c>
      <c r="K1" s="168" t="s">
        <v>102</v>
      </c>
      <c r="L1" s="168" t="s">
        <v>11</v>
      </c>
      <c r="M1" s="168" t="s">
        <v>12</v>
      </c>
      <c r="N1" s="168" t="s">
        <v>80</v>
      </c>
    </row>
    <row r="2" spans="1:14" x14ac:dyDescent="0.35">
      <c r="A2" s="167" t="s">
        <v>140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>
        <f t="shared" ref="N2:N19" si="0">SUM(B2:M2)</f>
        <v>0</v>
      </c>
    </row>
    <row r="3" spans="1:14" x14ac:dyDescent="0.35">
      <c r="A3" s="167" t="s">
        <v>146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>
        <f>SUM(B3:M3)</f>
        <v>0</v>
      </c>
    </row>
    <row r="4" spans="1:14" x14ac:dyDescent="0.35">
      <c r="A4" s="167" t="s">
        <v>147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>
        <f t="shared" si="0"/>
        <v>0</v>
      </c>
    </row>
    <row r="5" spans="1:14" x14ac:dyDescent="0.35">
      <c r="A5" s="167" t="s">
        <v>148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>
        <f>SUM(B5:M5)</f>
        <v>0</v>
      </c>
    </row>
    <row r="6" spans="1:14" x14ac:dyDescent="0.35">
      <c r="A6" s="167" t="s">
        <v>149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>
        <f t="shared" si="0"/>
        <v>0</v>
      </c>
    </row>
    <row r="7" spans="1:14" x14ac:dyDescent="0.35">
      <c r="A7" s="167" t="s">
        <v>142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>
        <f t="shared" si="0"/>
        <v>0</v>
      </c>
    </row>
    <row r="8" spans="1:14" x14ac:dyDescent="0.35">
      <c r="A8" s="167" t="s">
        <v>150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>
        <f t="shared" si="0"/>
        <v>0</v>
      </c>
    </row>
    <row r="9" spans="1:14" x14ac:dyDescent="0.35">
      <c r="A9" s="167" t="s">
        <v>141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>
        <f t="shared" si="0"/>
        <v>0</v>
      </c>
    </row>
    <row r="10" spans="1:14" x14ac:dyDescent="0.35">
      <c r="A10" s="167" t="s">
        <v>222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>
        <f>SUM(B10:M10)</f>
        <v>0</v>
      </c>
    </row>
    <row r="11" spans="1:14" x14ac:dyDescent="0.35">
      <c r="A11" s="167" t="s">
        <v>151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>
        <f>SUM(B11:M11)</f>
        <v>0</v>
      </c>
    </row>
    <row r="12" spans="1:14" x14ac:dyDescent="0.35">
      <c r="A12" s="188" t="s">
        <v>182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68">
        <f t="shared" si="0"/>
        <v>0</v>
      </c>
    </row>
    <row r="13" spans="1:14" x14ac:dyDescent="0.35">
      <c r="A13" s="188" t="s">
        <v>184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68">
        <f t="shared" si="0"/>
        <v>0</v>
      </c>
    </row>
    <row r="14" spans="1:14" x14ac:dyDescent="0.35">
      <c r="A14" s="188" t="s">
        <v>143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68">
        <f>SUM(B14:M14)</f>
        <v>0</v>
      </c>
    </row>
    <row r="15" spans="1:14" x14ac:dyDescent="0.35">
      <c r="A15" s="188" t="s">
        <v>185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68">
        <f t="shared" si="0"/>
        <v>0</v>
      </c>
    </row>
    <row r="16" spans="1:14" x14ac:dyDescent="0.35">
      <c r="A16" s="188" t="s">
        <v>223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68">
        <f t="shared" si="0"/>
        <v>0</v>
      </c>
    </row>
    <row r="17" spans="1:14" x14ac:dyDescent="0.35">
      <c r="A17" s="188" t="s">
        <v>457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68">
        <f t="shared" si="0"/>
        <v>0</v>
      </c>
    </row>
    <row r="18" spans="1:14" x14ac:dyDescent="0.35">
      <c r="A18" s="188" t="s">
        <v>465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68">
        <f t="shared" si="0"/>
        <v>0</v>
      </c>
    </row>
    <row r="19" spans="1:14" x14ac:dyDescent="0.35">
      <c r="A19" s="167" t="s">
        <v>471</v>
      </c>
      <c r="B19" s="168">
        <v>800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>
        <f t="shared" si="0"/>
        <v>800</v>
      </c>
    </row>
    <row r="20" spans="1:14" x14ac:dyDescent="0.35">
      <c r="N20" s="170">
        <f>SUM(N2:N19)</f>
        <v>800</v>
      </c>
    </row>
    <row r="22" spans="1:14" x14ac:dyDescent="0.35">
      <c r="A22" t="s">
        <v>115</v>
      </c>
    </row>
    <row r="23" spans="1:14" x14ac:dyDescent="0.35">
      <c r="A23" s="167"/>
      <c r="B23" s="168" t="s">
        <v>1</v>
      </c>
      <c r="C23" s="168" t="s">
        <v>2</v>
      </c>
      <c r="D23" s="168" t="s">
        <v>3</v>
      </c>
      <c r="E23" s="168" t="s">
        <v>4</v>
      </c>
      <c r="F23" s="168" t="s">
        <v>101</v>
      </c>
      <c r="G23" s="168" t="s">
        <v>6</v>
      </c>
      <c r="H23" s="168" t="s">
        <v>7</v>
      </c>
      <c r="I23" s="168" t="s">
        <v>8</v>
      </c>
      <c r="J23" s="168" t="s">
        <v>9</v>
      </c>
      <c r="K23" s="168" t="s">
        <v>102</v>
      </c>
      <c r="L23" s="168" t="s">
        <v>11</v>
      </c>
      <c r="M23" s="168" t="s">
        <v>12</v>
      </c>
      <c r="N23" s="168" t="s">
        <v>80</v>
      </c>
    </row>
    <row r="24" spans="1:14" x14ac:dyDescent="0.35">
      <c r="A24" s="167" t="s">
        <v>152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>
        <f t="shared" ref="N24:N38" si="1">SUM(B24:M24)</f>
        <v>0</v>
      </c>
    </row>
    <row r="25" spans="1:14" x14ac:dyDescent="0.35">
      <c r="A25" s="167" t="s">
        <v>216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>
        <f>SUM(B25:M25)</f>
        <v>0</v>
      </c>
    </row>
    <row r="26" spans="1:14" x14ac:dyDescent="0.35">
      <c r="A26" s="188" t="s">
        <v>217</v>
      </c>
      <c r="B26" s="187"/>
      <c r="C26" s="187"/>
      <c r="D26" s="187"/>
      <c r="E26" s="187"/>
      <c r="F26" s="291"/>
      <c r="G26" s="187"/>
      <c r="H26" s="187"/>
      <c r="I26" s="187"/>
      <c r="J26" s="187"/>
      <c r="K26" s="187"/>
      <c r="L26" s="187"/>
      <c r="M26" s="187"/>
      <c r="N26" s="169">
        <f>SUM(B26:M26)</f>
        <v>0</v>
      </c>
    </row>
    <row r="27" spans="1:14" x14ac:dyDescent="0.35">
      <c r="A27" s="167" t="s">
        <v>218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>
        <f>SUM(B27:M27)</f>
        <v>0</v>
      </c>
    </row>
    <row r="28" spans="1:14" x14ac:dyDescent="0.35">
      <c r="A28" s="167" t="s">
        <v>153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9">
        <f t="shared" si="1"/>
        <v>0</v>
      </c>
    </row>
    <row r="29" spans="1:14" x14ac:dyDescent="0.35">
      <c r="A29" s="167" t="s">
        <v>154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9">
        <f>SUM(B29:M29)</f>
        <v>0</v>
      </c>
    </row>
    <row r="30" spans="1:14" x14ac:dyDescent="0.35">
      <c r="A30" s="167" t="s">
        <v>155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9">
        <f t="shared" si="1"/>
        <v>0</v>
      </c>
    </row>
    <row r="31" spans="1:14" x14ac:dyDescent="0.35">
      <c r="A31" s="167" t="s">
        <v>156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>
        <f>SUM(B31:M31)</f>
        <v>0</v>
      </c>
    </row>
    <row r="32" spans="1:14" x14ac:dyDescent="0.35">
      <c r="A32" s="167" t="s">
        <v>157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>
        <f>SUM(B32:M32)</f>
        <v>0</v>
      </c>
    </row>
    <row r="33" spans="1:14" x14ac:dyDescent="0.35">
      <c r="A33" s="167" t="s">
        <v>158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>
        <f t="shared" si="1"/>
        <v>0</v>
      </c>
    </row>
    <row r="34" spans="1:14" x14ac:dyDescent="0.35">
      <c r="A34" s="167" t="s">
        <v>159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>
        <f>SUM(B34:M34)</f>
        <v>0</v>
      </c>
    </row>
    <row r="35" spans="1:14" x14ac:dyDescent="0.35">
      <c r="A35" s="167" t="s">
        <v>160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9">
        <f t="shared" si="1"/>
        <v>0</v>
      </c>
    </row>
    <row r="36" spans="1:14" x14ac:dyDescent="0.35">
      <c r="A36" s="167" t="s">
        <v>161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9">
        <f>SUM(B36:M36)</f>
        <v>0</v>
      </c>
    </row>
    <row r="37" spans="1:14" x14ac:dyDescent="0.35">
      <c r="A37" s="188" t="s">
        <v>215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69">
        <f>SUM(B37:M37)</f>
        <v>0</v>
      </c>
    </row>
    <row r="38" spans="1:14" x14ac:dyDescent="0.35">
      <c r="A38" s="167" t="s">
        <v>162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>
        <f t="shared" si="1"/>
        <v>0</v>
      </c>
    </row>
    <row r="39" spans="1:14" x14ac:dyDescent="0.35">
      <c r="N39" s="170">
        <f>SUM(N24:N38)</f>
        <v>0</v>
      </c>
    </row>
    <row r="41" spans="1:14" x14ac:dyDescent="0.35">
      <c r="A41" t="s">
        <v>163</v>
      </c>
    </row>
    <row r="42" spans="1:14" x14ac:dyDescent="0.35">
      <c r="A42" s="167"/>
      <c r="B42" s="168" t="s">
        <v>1</v>
      </c>
      <c r="C42" s="168" t="s">
        <v>2</v>
      </c>
      <c r="D42" s="168" t="s">
        <v>3</v>
      </c>
      <c r="E42" s="168" t="s">
        <v>4</v>
      </c>
      <c r="F42" s="168" t="s">
        <v>101</v>
      </c>
      <c r="G42" s="168" t="s">
        <v>6</v>
      </c>
      <c r="H42" s="168" t="s">
        <v>7</v>
      </c>
      <c r="I42" s="168" t="s">
        <v>8</v>
      </c>
      <c r="J42" s="168" t="s">
        <v>9</v>
      </c>
      <c r="K42" s="168" t="s">
        <v>102</v>
      </c>
      <c r="L42" s="168" t="s">
        <v>11</v>
      </c>
      <c r="M42" s="168" t="s">
        <v>12</v>
      </c>
      <c r="N42" s="168" t="s">
        <v>80</v>
      </c>
    </row>
    <row r="43" spans="1:14" x14ac:dyDescent="0.35">
      <c r="A43" s="188" t="s">
        <v>458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68">
        <f t="shared" ref="N43:N49" si="2">SUM(B43:M43)</f>
        <v>0</v>
      </c>
    </row>
    <row r="44" spans="1:14" x14ac:dyDescent="0.35">
      <c r="A44" s="188" t="s">
        <v>459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68">
        <f t="shared" si="2"/>
        <v>0</v>
      </c>
    </row>
    <row r="45" spans="1:14" x14ac:dyDescent="0.35">
      <c r="A45" s="188" t="s">
        <v>460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68">
        <f t="shared" si="2"/>
        <v>0</v>
      </c>
    </row>
    <row r="46" spans="1:14" x14ac:dyDescent="0.35">
      <c r="A46" s="188" t="s">
        <v>461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68">
        <f t="shared" si="2"/>
        <v>0</v>
      </c>
    </row>
    <row r="47" spans="1:14" x14ac:dyDescent="0.35">
      <c r="A47" s="188" t="s">
        <v>462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68">
        <f t="shared" si="2"/>
        <v>0</v>
      </c>
    </row>
    <row r="48" spans="1:14" x14ac:dyDescent="0.35">
      <c r="A48" s="188" t="s">
        <v>463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>
        <f t="shared" si="2"/>
        <v>0</v>
      </c>
    </row>
    <row r="49" spans="1:14" x14ac:dyDescent="0.35">
      <c r="A49" s="167" t="s">
        <v>219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>
        <f t="shared" si="2"/>
        <v>0</v>
      </c>
    </row>
    <row r="50" spans="1:14" x14ac:dyDescent="0.35">
      <c r="N50" s="170">
        <f>SUM(N43:N49)</f>
        <v>0</v>
      </c>
    </row>
    <row r="52" spans="1:14" x14ac:dyDescent="0.35">
      <c r="A52" t="s">
        <v>164</v>
      </c>
    </row>
    <row r="53" spans="1:14" x14ac:dyDescent="0.35">
      <c r="A53" s="167"/>
      <c r="B53" s="168" t="s">
        <v>1</v>
      </c>
      <c r="C53" s="168" t="s">
        <v>2</v>
      </c>
      <c r="D53" s="168" t="s">
        <v>3</v>
      </c>
      <c r="E53" s="168" t="s">
        <v>4</v>
      </c>
      <c r="F53" s="168" t="s">
        <v>101</v>
      </c>
      <c r="G53" s="168" t="s">
        <v>6</v>
      </c>
      <c r="H53" s="168" t="s">
        <v>7</v>
      </c>
      <c r="I53" s="168" t="s">
        <v>8</v>
      </c>
      <c r="J53" s="168" t="s">
        <v>9</v>
      </c>
      <c r="K53" s="168" t="s">
        <v>102</v>
      </c>
      <c r="L53" s="168" t="s">
        <v>11</v>
      </c>
      <c r="M53" s="168" t="s">
        <v>12</v>
      </c>
      <c r="N53" s="168" t="s">
        <v>80</v>
      </c>
    </row>
    <row r="54" spans="1:14" x14ac:dyDescent="0.35">
      <c r="A54" s="167" t="s">
        <v>165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>
        <f>SUM(B54:M54)</f>
        <v>0</v>
      </c>
    </row>
    <row r="55" spans="1:14" x14ac:dyDescent="0.35">
      <c r="A55" s="167" t="s">
        <v>166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>
        <f t="shared" ref="N55:N64" si="3">SUM(B55:M55)</f>
        <v>0</v>
      </c>
    </row>
    <row r="56" spans="1:14" x14ac:dyDescent="0.35">
      <c r="A56" s="188" t="s">
        <v>464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68">
        <f t="shared" si="3"/>
        <v>0</v>
      </c>
    </row>
    <row r="57" spans="1:14" x14ac:dyDescent="0.35">
      <c r="A57" s="167" t="s">
        <v>167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>
        <f t="shared" si="3"/>
        <v>0</v>
      </c>
    </row>
    <row r="58" spans="1:14" x14ac:dyDescent="0.35">
      <c r="A58" s="167" t="s">
        <v>183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>
        <f t="shared" si="3"/>
        <v>0</v>
      </c>
    </row>
    <row r="59" spans="1:14" x14ac:dyDescent="0.35">
      <c r="A59" s="167" t="s">
        <v>168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>
        <f t="shared" si="3"/>
        <v>0</v>
      </c>
    </row>
    <row r="60" spans="1:14" x14ac:dyDescent="0.35">
      <c r="A60" s="167" t="s">
        <v>468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>
        <f t="shared" si="3"/>
        <v>0</v>
      </c>
    </row>
    <row r="61" spans="1:14" x14ac:dyDescent="0.35">
      <c r="A61" s="167" t="s">
        <v>221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>
        <f>SUM(B61:M61)</f>
        <v>0</v>
      </c>
    </row>
    <row r="62" spans="1:14" x14ac:dyDescent="0.35">
      <c r="A62" s="167" t="s">
        <v>169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>
        <f t="shared" si="3"/>
        <v>0</v>
      </c>
    </row>
    <row r="63" spans="1:14" x14ac:dyDescent="0.35">
      <c r="A63" s="167" t="s">
        <v>170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>
        <f>SUM(B63:M63)</f>
        <v>0</v>
      </c>
    </row>
    <row r="64" spans="1:14" x14ac:dyDescent="0.35">
      <c r="A64" s="167" t="s">
        <v>171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>
        <f t="shared" si="3"/>
        <v>0</v>
      </c>
    </row>
    <row r="65" spans="1:14" x14ac:dyDescent="0.35">
      <c r="A65" s="167" t="s">
        <v>172</v>
      </c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>
        <f t="shared" ref="N65:N72" si="4">SUM(B65:M65)</f>
        <v>0</v>
      </c>
    </row>
    <row r="66" spans="1:14" x14ac:dyDescent="0.35">
      <c r="A66" s="167" t="s">
        <v>230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68">
        <f t="shared" si="4"/>
        <v>0</v>
      </c>
    </row>
    <row r="67" spans="1:14" x14ac:dyDescent="0.35">
      <c r="A67" s="167" t="s">
        <v>220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>
        <f t="shared" si="4"/>
        <v>0</v>
      </c>
    </row>
    <row r="68" spans="1:14" x14ac:dyDescent="0.35">
      <c r="A68" s="188" t="s">
        <v>229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68">
        <f t="shared" si="4"/>
        <v>0</v>
      </c>
    </row>
    <row r="69" spans="1:14" x14ac:dyDescent="0.35">
      <c r="A69" s="188" t="s">
        <v>231</v>
      </c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68">
        <f t="shared" si="4"/>
        <v>0</v>
      </c>
    </row>
    <row r="70" spans="1:14" x14ac:dyDescent="0.35">
      <c r="A70" s="188" t="s">
        <v>455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68">
        <f t="shared" si="4"/>
        <v>0</v>
      </c>
    </row>
    <row r="71" spans="1:14" x14ac:dyDescent="0.35">
      <c r="A71" s="188" t="s">
        <v>456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68">
        <f t="shared" si="4"/>
        <v>0</v>
      </c>
    </row>
    <row r="72" spans="1:14" x14ac:dyDescent="0.35">
      <c r="A72" s="167" t="s">
        <v>173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9">
        <f t="shared" si="4"/>
        <v>0</v>
      </c>
    </row>
    <row r="73" spans="1:14" x14ac:dyDescent="0.35">
      <c r="N73" s="170">
        <f>SUM(N54:N72)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A386-E5FD-B245-B2CC-DBDE2EACA3D1}">
  <dimension ref="A1:U27"/>
  <sheetViews>
    <sheetView workbookViewId="0">
      <selection activeCell="C25" sqref="C25"/>
    </sheetView>
  </sheetViews>
  <sheetFormatPr defaultColWidth="10.83203125" defaultRowHeight="14" x14ac:dyDescent="0.3"/>
  <cols>
    <col min="1" max="1" width="39.33203125" style="116" customWidth="1"/>
    <col min="2" max="2" width="11" style="116" customWidth="1"/>
    <col min="3" max="3" width="9.1640625" style="116" customWidth="1"/>
    <col min="4" max="4" width="11" style="116" customWidth="1"/>
    <col min="5" max="5" width="9.1640625" style="116" customWidth="1"/>
    <col min="6" max="6" width="11" style="116" customWidth="1"/>
    <col min="7" max="7" width="9.1640625" style="116" customWidth="1"/>
    <col min="8" max="16384" width="10.83203125" style="116"/>
  </cols>
  <sheetData>
    <row r="1" spans="1:21" ht="14.5" thickBot="1" x14ac:dyDescent="0.35">
      <c r="A1" s="119"/>
      <c r="B1" s="479" t="s">
        <v>469</v>
      </c>
      <c r="C1" s="480"/>
      <c r="D1" s="479" t="s">
        <v>475</v>
      </c>
      <c r="E1" s="480"/>
      <c r="F1" s="479" t="s">
        <v>111</v>
      </c>
      <c r="G1" s="480"/>
      <c r="H1" s="479" t="s">
        <v>86</v>
      </c>
      <c r="I1" s="480"/>
      <c r="L1" s="116">
        <v>2023</v>
      </c>
      <c r="N1" s="116">
        <v>2023</v>
      </c>
      <c r="P1" s="116">
        <v>71800</v>
      </c>
    </row>
    <row r="2" spans="1:21" ht="27" customHeight="1" x14ac:dyDescent="0.3">
      <c r="A2" s="117" t="s">
        <v>87</v>
      </c>
      <c r="B2" s="192"/>
      <c r="C2" s="193"/>
      <c r="D2" s="192">
        <f>SUM(D3:D5)</f>
        <v>71800</v>
      </c>
      <c r="E2" s="193"/>
      <c r="F2" s="192">
        <v>53970</v>
      </c>
      <c r="G2" s="193"/>
      <c r="H2" s="192">
        <f>SUM(H3:H5)</f>
        <v>55508</v>
      </c>
      <c r="I2" s="193"/>
      <c r="L2" s="120">
        <f>F2/4</f>
        <v>13492.5</v>
      </c>
      <c r="M2" s="121"/>
      <c r="N2" s="120">
        <v>32593</v>
      </c>
      <c r="O2" s="121"/>
      <c r="P2" s="120">
        <f>P1-N2</f>
        <v>39207</v>
      </c>
      <c r="Q2" s="121"/>
    </row>
    <row r="3" spans="1:21" x14ac:dyDescent="0.3">
      <c r="A3" s="122" t="s">
        <v>94</v>
      </c>
      <c r="B3" s="123"/>
      <c r="C3" s="124"/>
      <c r="D3" s="123">
        <v>14360</v>
      </c>
      <c r="E3" s="124">
        <v>0.2</v>
      </c>
      <c r="F3" s="123">
        <f>F2*G3</f>
        <v>10794</v>
      </c>
      <c r="G3" s="124">
        <v>0.2</v>
      </c>
      <c r="H3" s="123">
        <v>32442</v>
      </c>
      <c r="I3" s="125">
        <f>H2-H3</f>
        <v>23066</v>
      </c>
      <c r="L3" s="123">
        <f>L2*M3</f>
        <v>2698.5</v>
      </c>
      <c r="M3" s="124">
        <v>0.2</v>
      </c>
      <c r="N3" s="123">
        <f>N2*O3</f>
        <v>6518.6</v>
      </c>
      <c r="O3" s="124">
        <v>0.2</v>
      </c>
      <c r="P3" s="123">
        <f>P2*Q3</f>
        <v>7841.4000000000005</v>
      </c>
      <c r="Q3" s="124">
        <v>0.2</v>
      </c>
      <c r="R3" s="131">
        <f>P3+N3</f>
        <v>14360</v>
      </c>
      <c r="U3" s="131"/>
    </row>
    <row r="4" spans="1:21" x14ac:dyDescent="0.3">
      <c r="A4" s="122" t="s">
        <v>89</v>
      </c>
      <c r="B4" s="123"/>
      <c r="C4" s="124"/>
      <c r="D4" s="123">
        <v>28720</v>
      </c>
      <c r="E4" s="124">
        <v>0.4</v>
      </c>
      <c r="F4" s="123">
        <f>F2*G4</f>
        <v>21588</v>
      </c>
      <c r="G4" s="124">
        <v>0.4</v>
      </c>
      <c r="H4" s="123">
        <v>8986</v>
      </c>
      <c r="I4" s="124">
        <f>H4/I3</f>
        <v>0.38957773346050462</v>
      </c>
      <c r="L4" s="123">
        <f>L2*M4</f>
        <v>5397</v>
      </c>
      <c r="M4" s="124">
        <v>0.4</v>
      </c>
      <c r="N4" s="123">
        <f>N2*O4</f>
        <v>13037.2</v>
      </c>
      <c r="O4" s="124">
        <v>0.4</v>
      </c>
      <c r="P4" s="123">
        <f>P2*Q4</f>
        <v>15682.800000000001</v>
      </c>
      <c r="Q4" s="124">
        <v>0.4</v>
      </c>
      <c r="R4" s="131">
        <f t="shared" ref="R4:R5" si="0">P4+N4</f>
        <v>28720</v>
      </c>
    </row>
    <row r="5" spans="1:21" x14ac:dyDescent="0.3">
      <c r="A5" s="122" t="s">
        <v>93</v>
      </c>
      <c r="B5" s="123"/>
      <c r="C5" s="124"/>
      <c r="D5" s="123">
        <v>28720</v>
      </c>
      <c r="E5" s="124">
        <v>0.4</v>
      </c>
      <c r="F5" s="123">
        <f>F2*G5</f>
        <v>21588</v>
      </c>
      <c r="G5" s="124">
        <v>0.4</v>
      </c>
      <c r="H5" s="123">
        <v>14080</v>
      </c>
      <c r="I5" s="124">
        <f>H5/I3</f>
        <v>0.61042226653949538</v>
      </c>
      <c r="L5" s="123">
        <f>L2*M5</f>
        <v>5397</v>
      </c>
      <c r="M5" s="124">
        <v>0.4</v>
      </c>
      <c r="N5" s="123">
        <f>N2*O5</f>
        <v>13037.2</v>
      </c>
      <c r="O5" s="124">
        <v>0.4</v>
      </c>
      <c r="P5" s="123">
        <f>P2*Q5</f>
        <v>15682.800000000001</v>
      </c>
      <c r="Q5" s="124">
        <v>0.4</v>
      </c>
      <c r="R5" s="131">
        <f t="shared" si="0"/>
        <v>28720</v>
      </c>
    </row>
    <row r="6" spans="1:21" x14ac:dyDescent="0.3">
      <c r="A6" s="126"/>
      <c r="B6" s="127"/>
      <c r="C6" s="128"/>
      <c r="D6" s="127"/>
      <c r="E6" s="128"/>
      <c r="F6" s="127"/>
      <c r="G6" s="128"/>
      <c r="H6" s="127"/>
      <c r="I6" s="128"/>
      <c r="R6" s="131">
        <f>SUM(R3:R5)</f>
        <v>71800</v>
      </c>
    </row>
    <row r="7" spans="1:21" ht="26" customHeight="1" x14ac:dyDescent="0.3">
      <c r="A7" s="118" t="s">
        <v>95</v>
      </c>
      <c r="B7" s="123"/>
      <c r="C7" s="129"/>
      <c r="D7" s="123">
        <v>12000</v>
      </c>
      <c r="E7" s="129"/>
      <c r="F7" s="123">
        <v>12000</v>
      </c>
      <c r="G7" s="129"/>
      <c r="H7" s="123">
        <f>SUM(H8:H12)</f>
        <v>18000</v>
      </c>
      <c r="I7" s="129"/>
      <c r="L7" s="131"/>
    </row>
    <row r="8" spans="1:21" x14ac:dyDescent="0.3">
      <c r="A8" s="122" t="s">
        <v>88</v>
      </c>
      <c r="B8" s="123"/>
      <c r="C8" s="124"/>
      <c r="D8" s="123">
        <f>D7*E8</f>
        <v>12000</v>
      </c>
      <c r="E8" s="124">
        <v>1</v>
      </c>
      <c r="F8" s="123">
        <f>F7*G8</f>
        <v>12000</v>
      </c>
      <c r="G8" s="124">
        <v>1</v>
      </c>
      <c r="H8" s="123">
        <v>506</v>
      </c>
      <c r="I8" s="124">
        <f>H8/H7</f>
        <v>2.8111111111111111E-2</v>
      </c>
      <c r="P8" s="131"/>
    </row>
    <row r="9" spans="1:21" x14ac:dyDescent="0.3">
      <c r="A9" s="122" t="s">
        <v>90</v>
      </c>
      <c r="B9" s="123"/>
      <c r="C9" s="124"/>
      <c r="D9" s="123"/>
      <c r="E9" s="124"/>
      <c r="F9" s="123"/>
      <c r="G9" s="124"/>
      <c r="H9" s="123">
        <v>4306</v>
      </c>
      <c r="I9" s="124">
        <f>H9/H7</f>
        <v>0.23922222222222222</v>
      </c>
      <c r="N9" s="131"/>
    </row>
    <row r="10" spans="1:21" x14ac:dyDescent="0.3">
      <c r="A10" s="122" t="s">
        <v>93</v>
      </c>
      <c r="B10" s="123"/>
      <c r="C10" s="124"/>
      <c r="D10" s="123"/>
      <c r="E10" s="124"/>
      <c r="F10" s="123"/>
      <c r="G10" s="124"/>
      <c r="H10" s="123">
        <v>7218</v>
      </c>
      <c r="I10" s="124">
        <f>H10/H7</f>
        <v>0.40100000000000002</v>
      </c>
    </row>
    <row r="11" spans="1:21" x14ac:dyDescent="0.3">
      <c r="A11" s="122" t="s">
        <v>91</v>
      </c>
      <c r="B11" s="123"/>
      <c r="C11" s="124"/>
      <c r="D11" s="123"/>
      <c r="E11" s="124"/>
      <c r="F11" s="123"/>
      <c r="G11" s="124"/>
      <c r="H11" s="123">
        <v>5970</v>
      </c>
      <c r="I11" s="124">
        <f>H11/H7</f>
        <v>0.33166666666666667</v>
      </c>
    </row>
    <row r="12" spans="1:21" x14ac:dyDescent="0.3">
      <c r="A12" s="122" t="s">
        <v>52</v>
      </c>
      <c r="B12" s="123"/>
      <c r="C12" s="124"/>
      <c r="D12" s="123"/>
      <c r="E12" s="124"/>
      <c r="F12" s="123"/>
      <c r="G12" s="124"/>
      <c r="H12" s="123"/>
      <c r="I12" s="124"/>
    </row>
    <row r="13" spans="1:21" ht="24" customHeight="1" x14ac:dyDescent="0.3">
      <c r="A13" s="118" t="s">
        <v>96</v>
      </c>
      <c r="B13" s="123"/>
      <c r="C13" s="129"/>
      <c r="D13" s="123"/>
      <c r="E13" s="129"/>
      <c r="F13" s="123">
        <v>15873</v>
      </c>
      <c r="G13" s="129"/>
      <c r="H13" s="123">
        <f>SUM(H14:H16)</f>
        <v>20144</v>
      </c>
      <c r="I13" s="129"/>
    </row>
    <row r="14" spans="1:21" x14ac:dyDescent="0.3">
      <c r="A14" s="122" t="s">
        <v>94</v>
      </c>
      <c r="B14" s="123"/>
      <c r="C14" s="124"/>
      <c r="D14" s="123"/>
      <c r="E14" s="124"/>
      <c r="F14" s="123">
        <f>F13*G14</f>
        <v>3174.6000000000004</v>
      </c>
      <c r="G14" s="124">
        <v>0.2</v>
      </c>
      <c r="H14" s="123"/>
      <c r="I14" s="124">
        <f>H14/H13</f>
        <v>0</v>
      </c>
    </row>
    <row r="15" spans="1:21" x14ac:dyDescent="0.3">
      <c r="A15" s="122" t="s">
        <v>92</v>
      </c>
      <c r="B15" s="123"/>
      <c r="C15" s="124"/>
      <c r="D15" s="123"/>
      <c r="E15" s="124"/>
      <c r="F15" s="123">
        <f>F13*G15</f>
        <v>6349.2000000000007</v>
      </c>
      <c r="G15" s="124">
        <v>0.4</v>
      </c>
      <c r="H15" s="123">
        <v>9796</v>
      </c>
      <c r="I15" s="124">
        <f>H15/H13</f>
        <v>0.4862986497220016</v>
      </c>
    </row>
    <row r="16" spans="1:21" x14ac:dyDescent="0.3">
      <c r="A16" s="122" t="s">
        <v>93</v>
      </c>
      <c r="B16" s="123"/>
      <c r="C16" s="124"/>
      <c r="D16" s="123"/>
      <c r="E16" s="124"/>
      <c r="F16" s="123">
        <f>F13*G16</f>
        <v>6349.2000000000007</v>
      </c>
      <c r="G16" s="124">
        <v>0.4</v>
      </c>
      <c r="H16" s="123">
        <v>10348</v>
      </c>
      <c r="I16" s="124">
        <f>H16/H13</f>
        <v>0.51370135027799846</v>
      </c>
    </row>
    <row r="17" spans="1:9" x14ac:dyDescent="0.3">
      <c r="A17" s="126"/>
      <c r="B17" s="130"/>
      <c r="C17" s="128"/>
      <c r="D17" s="130"/>
      <c r="E17" s="128"/>
      <c r="F17" s="130"/>
      <c r="G17" s="128"/>
      <c r="H17" s="130"/>
      <c r="I17" s="128"/>
    </row>
    <row r="18" spans="1:9" ht="24" customHeight="1" x14ac:dyDescent="0.3">
      <c r="A18" s="118" t="s">
        <v>213</v>
      </c>
      <c r="B18" s="123">
        <v>361313</v>
      </c>
      <c r="C18" s="129"/>
      <c r="D18" s="123">
        <v>183662</v>
      </c>
      <c r="E18" s="129"/>
      <c r="F18" s="123"/>
      <c r="G18" s="129"/>
      <c r="H18" s="123"/>
      <c r="I18" s="129"/>
    </row>
    <row r="19" spans="1:9" x14ac:dyDescent="0.3">
      <c r="A19" s="122" t="s">
        <v>94</v>
      </c>
      <c r="B19" s="123">
        <f>B18*C19</f>
        <v>72262.600000000006</v>
      </c>
      <c r="C19" s="124">
        <v>0.2</v>
      </c>
      <c r="D19" s="123">
        <f>D18*E19</f>
        <v>36732.400000000001</v>
      </c>
      <c r="E19" s="124">
        <v>0.2</v>
      </c>
      <c r="F19" s="123"/>
      <c r="G19" s="124"/>
      <c r="H19" s="123"/>
      <c r="I19" s="124"/>
    </row>
    <row r="20" spans="1:9" x14ac:dyDescent="0.3">
      <c r="A20" s="122" t="s">
        <v>92</v>
      </c>
      <c r="B20" s="123">
        <f>B18*C20</f>
        <v>144525.20000000001</v>
      </c>
      <c r="C20" s="124">
        <v>0.4</v>
      </c>
      <c r="D20" s="123">
        <f>D18*E20</f>
        <v>73464.800000000003</v>
      </c>
      <c r="E20" s="124">
        <v>0.4</v>
      </c>
      <c r="F20" s="123"/>
      <c r="G20" s="124"/>
      <c r="H20" s="123"/>
      <c r="I20" s="124"/>
    </row>
    <row r="21" spans="1:9" ht="14.5" thickBot="1" x14ac:dyDescent="0.35">
      <c r="A21" s="132" t="s">
        <v>93</v>
      </c>
      <c r="B21" s="133">
        <f>B18*C21</f>
        <v>144525.20000000001</v>
      </c>
      <c r="C21" s="134">
        <v>0.4</v>
      </c>
      <c r="D21" s="133">
        <f>D18*E21</f>
        <v>73464.800000000003</v>
      </c>
      <c r="E21" s="134">
        <v>0.4</v>
      </c>
      <c r="F21" s="133"/>
      <c r="G21" s="134"/>
      <c r="H21" s="133"/>
      <c r="I21" s="134"/>
    </row>
    <row r="23" spans="1:9" x14ac:dyDescent="0.3">
      <c r="B23" s="131">
        <f>B2+B7+B18</f>
        <v>361313</v>
      </c>
      <c r="D23" s="131">
        <f>D2+D7+D18</f>
        <v>267462</v>
      </c>
      <c r="F23" s="131">
        <f>F2+F7+F18</f>
        <v>65970</v>
      </c>
      <c r="H23" s="131">
        <f>H2+H7+H18</f>
        <v>73508</v>
      </c>
    </row>
    <row r="24" spans="1:9" x14ac:dyDescent="0.3">
      <c r="B24" s="131"/>
      <c r="D24" s="131"/>
      <c r="F24" s="131"/>
    </row>
    <row r="25" spans="1:9" x14ac:dyDescent="0.3">
      <c r="B25" s="123">
        <v>144525</v>
      </c>
      <c r="C25" s="116" t="s">
        <v>93</v>
      </c>
    </row>
    <row r="26" spans="1:9" x14ac:dyDescent="0.3">
      <c r="B26" s="346">
        <f>B25*C26</f>
        <v>43357.5</v>
      </c>
      <c r="C26" s="124">
        <v>0.3</v>
      </c>
    </row>
    <row r="27" spans="1:9" x14ac:dyDescent="0.3">
      <c r="B27" s="346">
        <f>B25*C27</f>
        <v>101167.5</v>
      </c>
      <c r="C27" s="124">
        <v>0.7</v>
      </c>
    </row>
  </sheetData>
  <mergeCells count="4">
    <mergeCell ref="H1:I1"/>
    <mergeCell ref="F1:G1"/>
    <mergeCell ref="D1:E1"/>
    <mergeCell ref="B1:C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090F-D95E-0848-A7CB-9EEF460D53BB}">
  <dimension ref="A1:AE59"/>
  <sheetViews>
    <sheetView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C9" sqref="C9"/>
    </sheetView>
  </sheetViews>
  <sheetFormatPr defaultColWidth="9.1640625" defaultRowHeight="13" x14ac:dyDescent="0.3"/>
  <cols>
    <col min="1" max="1" width="8.83203125" style="195" customWidth="1"/>
    <col min="2" max="2" width="17.33203125" style="198" customWidth="1"/>
    <col min="3" max="3" width="40" style="198" customWidth="1"/>
    <col min="4" max="4" width="8.5" style="198" customWidth="1"/>
    <col min="5" max="5" width="21.1640625" style="198" customWidth="1"/>
    <col min="6" max="8" width="6.1640625" style="198" customWidth="1"/>
    <col min="9" max="10" width="7.1640625" style="198" customWidth="1"/>
    <col min="11" max="11" width="7.33203125" style="198" customWidth="1"/>
    <col min="12" max="14" width="7" style="198" customWidth="1"/>
    <col min="15" max="17" width="8.5" style="198" customWidth="1"/>
    <col min="18" max="18" width="7.5" style="198" customWidth="1"/>
    <col min="19" max="20" width="7.83203125" style="198" customWidth="1"/>
    <col min="21" max="23" width="8" style="198" customWidth="1"/>
    <col min="24" max="24" width="7.5" style="198" customWidth="1"/>
    <col min="25" max="25" width="10.5" style="198" customWidth="1"/>
    <col min="26" max="29" width="7.6640625" style="198" customWidth="1"/>
    <col min="30" max="30" width="10.1640625" style="198" customWidth="1"/>
    <col min="31" max="16384" width="9.1640625" style="198"/>
  </cols>
  <sheetData>
    <row r="1" spans="1:31" ht="41.25" customHeight="1" x14ac:dyDescent="0.35">
      <c r="B1" s="196"/>
      <c r="C1" s="196"/>
      <c r="D1" s="196"/>
      <c r="E1" s="196"/>
      <c r="F1" s="481" t="s">
        <v>232</v>
      </c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196"/>
      <c r="V1" s="196"/>
      <c r="W1" s="196"/>
      <c r="X1" s="482" t="s">
        <v>233</v>
      </c>
      <c r="Y1" s="482"/>
      <c r="Z1" s="482"/>
      <c r="AA1" s="482"/>
      <c r="AB1" s="482"/>
      <c r="AC1" s="482"/>
      <c r="AD1" s="482"/>
      <c r="AE1" s="197"/>
    </row>
    <row r="2" spans="1:31" s="201" customFormat="1" ht="15.5" x14ac:dyDescent="0.35">
      <c r="A2" s="199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31" s="201" customFormat="1" ht="15.5" x14ac:dyDescent="0.35">
      <c r="A3" s="200" t="s">
        <v>234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</row>
    <row r="4" spans="1:31" s="201" customFormat="1" ht="15.5" x14ac:dyDescent="0.35">
      <c r="A4" s="204" t="s">
        <v>235</v>
      </c>
      <c r="B4" s="202"/>
      <c r="C4" s="202" t="s">
        <v>411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3"/>
      <c r="P4" s="203"/>
      <c r="Q4" s="203"/>
      <c r="R4" s="203"/>
      <c r="S4" s="203"/>
      <c r="T4" s="203"/>
      <c r="U4" s="203"/>
      <c r="V4" s="203"/>
      <c r="W4" s="203"/>
    </row>
    <row r="5" spans="1:31" s="201" customFormat="1" ht="15.5" x14ac:dyDescent="0.35">
      <c r="A5" s="205" t="s">
        <v>236</v>
      </c>
      <c r="B5" s="202"/>
      <c r="C5" s="202" t="s">
        <v>412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/>
      <c r="P5" s="203"/>
      <c r="Q5" s="203"/>
      <c r="R5" s="203"/>
      <c r="S5" s="203"/>
      <c r="T5" s="203"/>
      <c r="U5" s="203"/>
      <c r="V5" s="203"/>
      <c r="W5" s="203"/>
    </row>
    <row r="6" spans="1:31" s="201" customFormat="1" ht="15.5" x14ac:dyDescent="0.35">
      <c r="A6" s="206" t="s">
        <v>237</v>
      </c>
      <c r="B6" s="206"/>
      <c r="C6" s="206" t="s">
        <v>413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  <c r="P6" s="207"/>
      <c r="Q6" s="207"/>
      <c r="R6" s="207"/>
      <c r="S6" s="202"/>
      <c r="T6" s="203"/>
      <c r="U6" s="203"/>
      <c r="V6" s="203"/>
      <c r="W6" s="203"/>
    </row>
    <row r="7" spans="1:31" s="201" customFormat="1" ht="16" thickBot="1" x14ac:dyDescent="0.4">
      <c r="A7" s="199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9"/>
      <c r="Z7" s="209"/>
      <c r="AA7" s="209"/>
      <c r="AB7" s="209"/>
      <c r="AC7" s="209"/>
      <c r="AD7" s="209"/>
    </row>
    <row r="8" spans="1:31" s="201" customFormat="1" ht="15.5" x14ac:dyDescent="0.35">
      <c r="A8" s="210"/>
      <c r="B8" s="211"/>
      <c r="C8" s="212"/>
      <c r="D8" s="212"/>
      <c r="E8" s="213"/>
      <c r="F8" s="214">
        <v>1110</v>
      </c>
      <c r="G8" s="214">
        <v>1140</v>
      </c>
      <c r="H8" s="214">
        <v>1150</v>
      </c>
      <c r="I8" s="214">
        <v>1210</v>
      </c>
      <c r="J8" s="214">
        <v>1220</v>
      </c>
      <c r="K8" s="214">
        <v>2110</v>
      </c>
      <c r="L8" s="215">
        <v>2120</v>
      </c>
      <c r="M8" s="215">
        <v>2210</v>
      </c>
      <c r="N8" s="215">
        <v>2220</v>
      </c>
      <c r="O8" s="215">
        <v>2230</v>
      </c>
      <c r="P8" s="215">
        <v>2240</v>
      </c>
      <c r="Q8" s="215">
        <v>2250</v>
      </c>
      <c r="R8" s="215">
        <v>2260</v>
      </c>
      <c r="S8" s="214">
        <v>2310</v>
      </c>
      <c r="T8" s="214">
        <v>2320</v>
      </c>
      <c r="U8" s="214">
        <v>2340</v>
      </c>
      <c r="V8" s="214">
        <v>2350</v>
      </c>
      <c r="W8" s="214">
        <v>2360</v>
      </c>
      <c r="X8" s="214">
        <v>2390</v>
      </c>
      <c r="Y8" s="216">
        <v>5110</v>
      </c>
      <c r="Z8" s="216">
        <v>5120</v>
      </c>
      <c r="AA8" s="216">
        <v>5220</v>
      </c>
      <c r="AB8" s="216">
        <v>5230</v>
      </c>
      <c r="AC8" s="216">
        <v>7710</v>
      </c>
      <c r="AD8" s="217"/>
    </row>
    <row r="9" spans="1:31" s="201" customFormat="1" ht="178.5" customHeight="1" x14ac:dyDescent="0.35">
      <c r="A9" s="294" t="s">
        <v>238</v>
      </c>
      <c r="B9" s="295" t="s">
        <v>239</v>
      </c>
      <c r="C9" s="295" t="s">
        <v>240</v>
      </c>
      <c r="D9" s="295" t="s">
        <v>241</v>
      </c>
      <c r="E9" s="296" t="s">
        <v>242</v>
      </c>
      <c r="F9" s="297" t="s">
        <v>243</v>
      </c>
      <c r="G9" s="297" t="s">
        <v>244</v>
      </c>
      <c r="H9" s="297" t="s">
        <v>245</v>
      </c>
      <c r="I9" s="298" t="s">
        <v>246</v>
      </c>
      <c r="J9" s="298" t="s">
        <v>247</v>
      </c>
      <c r="K9" s="299" t="s">
        <v>248</v>
      </c>
      <c r="L9" s="299" t="s">
        <v>249</v>
      </c>
      <c r="M9" s="299" t="s">
        <v>250</v>
      </c>
      <c r="N9" s="299" t="s">
        <v>251</v>
      </c>
      <c r="O9" s="299" t="s">
        <v>252</v>
      </c>
      <c r="P9" s="299" t="s">
        <v>253</v>
      </c>
      <c r="Q9" s="299" t="s">
        <v>254</v>
      </c>
      <c r="R9" s="299" t="s">
        <v>255</v>
      </c>
      <c r="S9" s="299" t="s">
        <v>256</v>
      </c>
      <c r="T9" s="299" t="s">
        <v>257</v>
      </c>
      <c r="U9" s="299" t="s">
        <v>258</v>
      </c>
      <c r="V9" s="299" t="s">
        <v>259</v>
      </c>
      <c r="W9" s="299" t="s">
        <v>260</v>
      </c>
      <c r="X9" s="299" t="s">
        <v>261</v>
      </c>
      <c r="Y9" s="299" t="s">
        <v>262</v>
      </c>
      <c r="Z9" s="299" t="s">
        <v>263</v>
      </c>
      <c r="AA9" s="299" t="s">
        <v>264</v>
      </c>
      <c r="AB9" s="299" t="s">
        <v>265</v>
      </c>
      <c r="AC9" s="299" t="s">
        <v>266</v>
      </c>
      <c r="AD9" s="300" t="s">
        <v>267</v>
      </c>
    </row>
    <row r="10" spans="1:31" s="201" customFormat="1" ht="15.5" x14ac:dyDescent="0.35">
      <c r="A10" s="301">
        <v>1</v>
      </c>
      <c r="B10" s="302" t="s">
        <v>268</v>
      </c>
      <c r="C10" s="303" t="s">
        <v>269</v>
      </c>
      <c r="D10" s="304">
        <v>390</v>
      </c>
      <c r="E10" s="304" t="s">
        <v>131</v>
      </c>
      <c r="F10" s="305"/>
      <c r="G10" s="305"/>
      <c r="H10" s="305"/>
      <c r="I10" s="306"/>
      <c r="J10" s="306"/>
      <c r="K10" s="306"/>
      <c r="L10" s="307"/>
      <c r="M10" s="307"/>
      <c r="N10" s="307"/>
      <c r="O10" s="307"/>
      <c r="P10" s="307"/>
      <c r="Q10" s="307"/>
      <c r="R10" s="307"/>
      <c r="S10" s="307">
        <v>605</v>
      </c>
      <c r="T10" s="308"/>
      <c r="U10" s="308"/>
      <c r="V10" s="308"/>
      <c r="W10" s="308"/>
      <c r="X10" s="308"/>
      <c r="Y10" s="308"/>
      <c r="Z10" s="309"/>
      <c r="AA10" s="309"/>
      <c r="AB10" s="309"/>
      <c r="AC10" s="309"/>
      <c r="AD10" s="310">
        <f>SUM(F10:AC10)</f>
        <v>605</v>
      </c>
    </row>
    <row r="11" spans="1:31" s="201" customFormat="1" ht="15.5" x14ac:dyDescent="0.35">
      <c r="A11" s="301">
        <v>2</v>
      </c>
      <c r="B11" s="302" t="s">
        <v>270</v>
      </c>
      <c r="C11" s="303" t="s">
        <v>271</v>
      </c>
      <c r="D11" s="304">
        <v>22</v>
      </c>
      <c r="E11" s="304" t="s">
        <v>272</v>
      </c>
      <c r="F11" s="305">
        <v>1102</v>
      </c>
      <c r="G11" s="305"/>
      <c r="H11" s="305"/>
      <c r="I11" s="306">
        <v>746</v>
      </c>
      <c r="J11" s="306"/>
      <c r="K11" s="306"/>
      <c r="L11" s="307">
        <v>2100</v>
      </c>
      <c r="M11" s="307"/>
      <c r="N11" s="307"/>
      <c r="O11" s="307">
        <v>1500</v>
      </c>
      <c r="P11" s="307"/>
      <c r="Q11" s="307"/>
      <c r="R11" s="307"/>
      <c r="S11" s="308"/>
      <c r="T11" s="308"/>
      <c r="U11" s="308"/>
      <c r="V11" s="307"/>
      <c r="W11" s="308"/>
      <c r="X11" s="308"/>
      <c r="Y11" s="308"/>
      <c r="Z11" s="309"/>
      <c r="AA11" s="309"/>
      <c r="AB11" s="309"/>
      <c r="AC11" s="309"/>
      <c r="AD11" s="310">
        <f>SUM(F11:AC11)</f>
        <v>5448</v>
      </c>
    </row>
    <row r="12" spans="1:31" s="201" customFormat="1" ht="15.5" x14ac:dyDescent="0.35">
      <c r="A12" s="301">
        <v>3</v>
      </c>
      <c r="B12" s="302" t="s">
        <v>414</v>
      </c>
      <c r="C12" s="303" t="s">
        <v>273</v>
      </c>
      <c r="D12" s="304">
        <v>2</v>
      </c>
      <c r="E12" s="304" t="s">
        <v>415</v>
      </c>
      <c r="F12" s="305"/>
      <c r="G12" s="305"/>
      <c r="H12" s="305"/>
      <c r="I12" s="306"/>
      <c r="J12" s="306"/>
      <c r="K12" s="306"/>
      <c r="L12" s="311"/>
      <c r="M12" s="307"/>
      <c r="N12" s="307"/>
      <c r="O12" s="307"/>
      <c r="P12" s="307"/>
      <c r="Q12" s="307"/>
      <c r="R12" s="307"/>
      <c r="S12" s="308"/>
      <c r="T12" s="308"/>
      <c r="U12" s="308"/>
      <c r="V12" s="308"/>
      <c r="W12" s="308"/>
      <c r="X12" s="308"/>
      <c r="Y12" s="308"/>
      <c r="Z12" s="309"/>
      <c r="AA12" s="309"/>
      <c r="AB12" s="309"/>
      <c r="AC12" s="309"/>
      <c r="AD12" s="310">
        <f t="shared" ref="AD12:AD53" si="0">SUM(F12:AC12)</f>
        <v>0</v>
      </c>
    </row>
    <row r="13" spans="1:31" s="201" customFormat="1" ht="15.5" x14ac:dyDescent="0.35">
      <c r="A13" s="301">
        <v>4</v>
      </c>
      <c r="B13" s="302" t="s">
        <v>274</v>
      </c>
      <c r="C13" s="312" t="s">
        <v>275</v>
      </c>
      <c r="D13" s="304">
        <v>14</v>
      </c>
      <c r="E13" s="304" t="s">
        <v>276</v>
      </c>
      <c r="F13" s="305">
        <v>1102</v>
      </c>
      <c r="G13" s="305"/>
      <c r="H13" s="305"/>
      <c r="I13" s="306">
        <v>746</v>
      </c>
      <c r="J13" s="306"/>
      <c r="K13" s="306"/>
      <c r="L13" s="306">
        <v>21600</v>
      </c>
      <c r="M13" s="306"/>
      <c r="N13" s="306"/>
      <c r="O13" s="306">
        <v>1500</v>
      </c>
      <c r="P13" s="306"/>
      <c r="Q13" s="306"/>
      <c r="R13" s="306"/>
      <c r="S13" s="306">
        <v>1600</v>
      </c>
      <c r="T13" s="313"/>
      <c r="U13" s="313"/>
      <c r="V13" s="306"/>
      <c r="W13" s="313"/>
      <c r="X13" s="313"/>
      <c r="Y13" s="313"/>
      <c r="Z13" s="314"/>
      <c r="AA13" s="314"/>
      <c r="AB13" s="314"/>
      <c r="AC13" s="314"/>
      <c r="AD13" s="310">
        <f>SUM(F13:AC13)</f>
        <v>26548</v>
      </c>
    </row>
    <row r="14" spans="1:31" s="201" customFormat="1" ht="15.5" x14ac:dyDescent="0.35">
      <c r="A14" s="301">
        <v>5</v>
      </c>
      <c r="B14" s="302" t="s">
        <v>277</v>
      </c>
      <c r="C14" s="312" t="s">
        <v>278</v>
      </c>
      <c r="D14" s="304">
        <v>3</v>
      </c>
      <c r="E14" s="304" t="s">
        <v>276</v>
      </c>
      <c r="F14" s="305"/>
      <c r="G14" s="305"/>
      <c r="H14" s="305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13"/>
      <c r="T14" s="313"/>
      <c r="U14" s="313"/>
      <c r="V14" s="313"/>
      <c r="W14" s="313"/>
      <c r="X14" s="313"/>
      <c r="Y14" s="313"/>
      <c r="Z14" s="314"/>
      <c r="AA14" s="314"/>
      <c r="AB14" s="314"/>
      <c r="AC14" s="314"/>
      <c r="AD14" s="310">
        <f t="shared" si="0"/>
        <v>0</v>
      </c>
    </row>
    <row r="15" spans="1:31" s="201" customFormat="1" ht="15.5" x14ac:dyDescent="0.35">
      <c r="A15" s="301">
        <v>6</v>
      </c>
      <c r="B15" s="302" t="s">
        <v>279</v>
      </c>
      <c r="C15" s="312" t="s">
        <v>280</v>
      </c>
      <c r="D15" s="304">
        <v>400</v>
      </c>
      <c r="E15" s="304" t="s">
        <v>145</v>
      </c>
      <c r="F15" s="305"/>
      <c r="G15" s="305"/>
      <c r="H15" s="305"/>
      <c r="I15" s="306"/>
      <c r="J15" s="306"/>
      <c r="K15" s="306">
        <v>500</v>
      </c>
      <c r="L15" s="306"/>
      <c r="M15" s="306"/>
      <c r="N15" s="306"/>
      <c r="O15" s="306">
        <v>605</v>
      </c>
      <c r="P15" s="306"/>
      <c r="Q15" s="306"/>
      <c r="R15" s="306"/>
      <c r="S15" s="306">
        <v>4000</v>
      </c>
      <c r="T15" s="313"/>
      <c r="U15" s="313"/>
      <c r="V15" s="313"/>
      <c r="W15" s="313"/>
      <c r="X15" s="313"/>
      <c r="Y15" s="313"/>
      <c r="Z15" s="314"/>
      <c r="AA15" s="314"/>
      <c r="AB15" s="314"/>
      <c r="AC15" s="314"/>
      <c r="AD15" s="310">
        <f>SUM(F15:AC15)</f>
        <v>5105</v>
      </c>
    </row>
    <row r="16" spans="1:31" s="201" customFormat="1" ht="15.5" x14ac:dyDescent="0.35">
      <c r="A16" s="301">
        <v>7</v>
      </c>
      <c r="B16" s="302" t="s">
        <v>281</v>
      </c>
      <c r="C16" s="312" t="s">
        <v>282</v>
      </c>
      <c r="D16" s="304">
        <v>7</v>
      </c>
      <c r="E16" s="304" t="s">
        <v>283</v>
      </c>
      <c r="F16" s="305"/>
      <c r="G16" s="305"/>
      <c r="H16" s="305"/>
      <c r="I16" s="306"/>
      <c r="J16" s="306"/>
      <c r="K16" s="306"/>
      <c r="L16" s="306">
        <v>8600</v>
      </c>
      <c r="M16" s="306"/>
      <c r="N16" s="306"/>
      <c r="O16" s="306">
        <v>500</v>
      </c>
      <c r="P16" s="306"/>
      <c r="Q16" s="306"/>
      <c r="R16" s="306"/>
      <c r="S16" s="306">
        <v>500</v>
      </c>
      <c r="T16" s="313"/>
      <c r="U16" s="313"/>
      <c r="V16" s="306"/>
      <c r="W16" s="313"/>
      <c r="X16" s="313"/>
      <c r="Y16" s="313"/>
      <c r="Z16" s="314"/>
      <c r="AA16" s="314"/>
      <c r="AB16" s="314"/>
      <c r="AC16" s="314"/>
      <c r="AD16" s="310">
        <f t="shared" si="0"/>
        <v>9600</v>
      </c>
    </row>
    <row r="17" spans="1:30" s="201" customFormat="1" ht="15.5" x14ac:dyDescent="0.35">
      <c r="A17" s="301">
        <v>8</v>
      </c>
      <c r="B17" s="315" t="s">
        <v>284</v>
      </c>
      <c r="C17" s="316" t="s">
        <v>285</v>
      </c>
      <c r="D17" s="315">
        <v>5</v>
      </c>
      <c r="E17" s="315" t="s">
        <v>286</v>
      </c>
      <c r="F17" s="306"/>
      <c r="G17" s="306"/>
      <c r="H17" s="306"/>
      <c r="I17" s="306"/>
      <c r="J17" s="306"/>
      <c r="K17" s="306"/>
      <c r="L17" s="306">
        <v>5000</v>
      </c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17"/>
      <c r="AA17" s="317"/>
      <c r="AB17" s="317"/>
      <c r="AC17" s="317"/>
      <c r="AD17" s="310">
        <f>SUM(F17:AC17)</f>
        <v>5000</v>
      </c>
    </row>
    <row r="18" spans="1:30" s="201" customFormat="1" ht="15.5" x14ac:dyDescent="0.35">
      <c r="A18" s="301">
        <v>9</v>
      </c>
      <c r="B18" s="315" t="s">
        <v>287</v>
      </c>
      <c r="C18" s="316" t="s">
        <v>288</v>
      </c>
      <c r="D18" s="315">
        <v>20</v>
      </c>
      <c r="E18" s="315" t="s">
        <v>145</v>
      </c>
      <c r="F18" s="306"/>
      <c r="G18" s="306"/>
      <c r="H18" s="306"/>
      <c r="I18" s="306"/>
      <c r="J18" s="306"/>
      <c r="K18" s="306"/>
      <c r="L18" s="311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17"/>
      <c r="AA18" s="317"/>
      <c r="AB18" s="317"/>
      <c r="AC18" s="317"/>
      <c r="AD18" s="310">
        <f t="shared" si="0"/>
        <v>0</v>
      </c>
    </row>
    <row r="19" spans="1:30" s="201" customFormat="1" ht="15.5" x14ac:dyDescent="0.35">
      <c r="A19" s="301">
        <v>10</v>
      </c>
      <c r="B19" s="315" t="s">
        <v>416</v>
      </c>
      <c r="C19" s="316" t="s">
        <v>417</v>
      </c>
      <c r="D19" s="315">
        <v>1</v>
      </c>
      <c r="E19" s="315" t="s">
        <v>418</v>
      </c>
      <c r="F19" s="306"/>
      <c r="G19" s="306"/>
      <c r="H19" s="306"/>
      <c r="I19" s="306"/>
      <c r="J19" s="306"/>
      <c r="K19" s="306"/>
      <c r="L19" s="306">
        <v>360</v>
      </c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17"/>
      <c r="AA19" s="317"/>
      <c r="AB19" s="317"/>
      <c r="AC19" s="317"/>
      <c r="AD19" s="310">
        <f t="shared" si="0"/>
        <v>360</v>
      </c>
    </row>
    <row r="20" spans="1:30" s="201" customFormat="1" ht="15.5" x14ac:dyDescent="0.35">
      <c r="A20" s="301">
        <v>11</v>
      </c>
      <c r="B20" s="315" t="s">
        <v>289</v>
      </c>
      <c r="C20" s="316" t="s">
        <v>290</v>
      </c>
      <c r="D20" s="315">
        <v>2</v>
      </c>
      <c r="E20" s="315" t="s">
        <v>291</v>
      </c>
      <c r="F20" s="306"/>
      <c r="G20" s="306"/>
      <c r="H20" s="306"/>
      <c r="I20" s="306"/>
      <c r="J20" s="306"/>
      <c r="K20" s="306"/>
      <c r="L20" s="311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17"/>
      <c r="AA20" s="317"/>
      <c r="AB20" s="317"/>
      <c r="AC20" s="317"/>
      <c r="AD20" s="310">
        <f t="shared" si="0"/>
        <v>0</v>
      </c>
    </row>
    <row r="21" spans="1:30" s="201" customFormat="1" ht="15.5" x14ac:dyDescent="0.35">
      <c r="A21" s="301">
        <v>12</v>
      </c>
      <c r="B21" s="315" t="s">
        <v>292</v>
      </c>
      <c r="C21" s="303" t="s">
        <v>273</v>
      </c>
      <c r="D21" s="315">
        <v>2</v>
      </c>
      <c r="E21" s="315" t="s">
        <v>293</v>
      </c>
      <c r="F21" s="306"/>
      <c r="G21" s="306"/>
      <c r="H21" s="306"/>
      <c r="I21" s="306"/>
      <c r="J21" s="306"/>
      <c r="K21" s="306"/>
      <c r="L21" s="311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17"/>
      <c r="AA21" s="317"/>
      <c r="AB21" s="317"/>
      <c r="AC21" s="317"/>
      <c r="AD21" s="310">
        <f t="shared" si="0"/>
        <v>0</v>
      </c>
    </row>
    <row r="22" spans="1:30" s="201" customFormat="1" ht="15.5" x14ac:dyDescent="0.35">
      <c r="A22" s="301">
        <v>13</v>
      </c>
      <c r="B22" s="315" t="s">
        <v>294</v>
      </c>
      <c r="C22" s="303" t="s">
        <v>273</v>
      </c>
      <c r="D22" s="315">
        <v>2</v>
      </c>
      <c r="E22" s="315" t="s">
        <v>295</v>
      </c>
      <c r="F22" s="306"/>
      <c r="G22" s="306"/>
      <c r="H22" s="306"/>
      <c r="I22" s="306"/>
      <c r="J22" s="306"/>
      <c r="K22" s="306"/>
      <c r="L22" s="311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17"/>
      <c r="AA22" s="317"/>
      <c r="AB22" s="317"/>
      <c r="AC22" s="317"/>
      <c r="AD22" s="310">
        <f t="shared" si="0"/>
        <v>0</v>
      </c>
    </row>
    <row r="23" spans="1:30" s="201" customFormat="1" ht="18" customHeight="1" x14ac:dyDescent="0.35">
      <c r="A23" s="301">
        <v>14</v>
      </c>
      <c r="B23" s="315" t="s">
        <v>419</v>
      </c>
      <c r="C23" s="318" t="s">
        <v>296</v>
      </c>
      <c r="D23" s="315">
        <v>350</v>
      </c>
      <c r="E23" s="319" t="s">
        <v>297</v>
      </c>
      <c r="F23" s="306"/>
      <c r="G23" s="306"/>
      <c r="H23" s="306"/>
      <c r="I23" s="306"/>
      <c r="J23" s="306"/>
      <c r="K23" s="306">
        <v>150</v>
      </c>
      <c r="L23" s="306"/>
      <c r="M23" s="306"/>
      <c r="N23" s="306"/>
      <c r="O23" s="306">
        <v>800</v>
      </c>
      <c r="P23" s="306"/>
      <c r="Q23" s="306"/>
      <c r="R23" s="306"/>
      <c r="S23" s="306">
        <v>2500</v>
      </c>
      <c r="T23" s="306"/>
      <c r="U23" s="306"/>
      <c r="V23" s="306"/>
      <c r="W23" s="306"/>
      <c r="X23" s="306"/>
      <c r="Y23" s="306"/>
      <c r="Z23" s="317"/>
      <c r="AA23" s="317"/>
      <c r="AB23" s="317"/>
      <c r="AC23" s="317"/>
      <c r="AD23" s="310">
        <f>SUM(F23:AC23)</f>
        <v>3450</v>
      </c>
    </row>
    <row r="24" spans="1:30" s="201" customFormat="1" ht="18" customHeight="1" x14ac:dyDescent="0.35">
      <c r="A24" s="301">
        <v>15</v>
      </c>
      <c r="B24" s="320">
        <v>45272</v>
      </c>
      <c r="C24" s="318" t="s">
        <v>298</v>
      </c>
      <c r="D24" s="315">
        <v>300</v>
      </c>
      <c r="E24" s="319" t="s">
        <v>131</v>
      </c>
      <c r="F24" s="306">
        <v>1102</v>
      </c>
      <c r="G24" s="306"/>
      <c r="H24" s="306"/>
      <c r="I24" s="306">
        <v>746</v>
      </c>
      <c r="J24" s="306"/>
      <c r="K24" s="306"/>
      <c r="L24" s="306"/>
      <c r="M24" s="306"/>
      <c r="N24" s="306"/>
      <c r="O24" s="306">
        <v>3100</v>
      </c>
      <c r="P24" s="306"/>
      <c r="Q24" s="306"/>
      <c r="R24" s="306">
        <v>581</v>
      </c>
      <c r="S24" s="306">
        <v>2000</v>
      </c>
      <c r="T24" s="306"/>
      <c r="U24" s="306"/>
      <c r="V24" s="306"/>
      <c r="W24" s="306"/>
      <c r="X24" s="306"/>
      <c r="Y24" s="306"/>
      <c r="Z24" s="317"/>
      <c r="AA24" s="317"/>
      <c r="AB24" s="317"/>
      <c r="AC24" s="317"/>
      <c r="AD24" s="310">
        <f>SUM(F24:AC24)</f>
        <v>7529</v>
      </c>
    </row>
    <row r="25" spans="1:30" s="201" customFormat="1" ht="18" customHeight="1" x14ac:dyDescent="0.35">
      <c r="A25" s="301">
        <v>16</v>
      </c>
      <c r="B25" s="321" t="s">
        <v>420</v>
      </c>
      <c r="C25" s="322" t="s">
        <v>421</v>
      </c>
      <c r="D25" s="321"/>
      <c r="E25" s="323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11">
        <v>1700</v>
      </c>
      <c r="Q25" s="307"/>
      <c r="R25" s="307">
        <v>1200</v>
      </c>
      <c r="S25" s="307"/>
      <c r="T25" s="307"/>
      <c r="U25" s="307"/>
      <c r="V25" s="307"/>
      <c r="W25" s="307"/>
      <c r="X25" s="307"/>
      <c r="Y25" s="307"/>
      <c r="Z25" s="324"/>
      <c r="AA25" s="324"/>
      <c r="AB25" s="324"/>
      <c r="AC25" s="324"/>
      <c r="AD25" s="310">
        <f>SUM(F25:AC25)</f>
        <v>2900</v>
      </c>
    </row>
    <row r="26" spans="1:30" s="201" customFormat="1" ht="18" customHeight="1" x14ac:dyDescent="0.35">
      <c r="A26" s="301">
        <v>17</v>
      </c>
      <c r="B26" s="321" t="s">
        <v>422</v>
      </c>
      <c r="C26" s="322" t="s">
        <v>423</v>
      </c>
      <c r="D26" s="321">
        <v>12</v>
      </c>
      <c r="E26" s="323" t="s">
        <v>410</v>
      </c>
      <c r="F26" s="307"/>
      <c r="G26" s="307"/>
      <c r="H26" s="307"/>
      <c r="I26" s="307"/>
      <c r="J26" s="307"/>
      <c r="K26" s="307"/>
      <c r="L26" s="311">
        <v>11000</v>
      </c>
      <c r="M26" s="307"/>
      <c r="N26" s="307"/>
      <c r="O26" s="307"/>
      <c r="P26" s="307"/>
      <c r="Q26" s="307"/>
      <c r="R26" s="307"/>
      <c r="S26" s="311">
        <v>105</v>
      </c>
      <c r="T26" s="307"/>
      <c r="U26" s="307"/>
      <c r="V26" s="307"/>
      <c r="W26" s="307"/>
      <c r="X26" s="307"/>
      <c r="Y26" s="307"/>
      <c r="Z26" s="324"/>
      <c r="AA26" s="324"/>
      <c r="AB26" s="324"/>
      <c r="AC26" s="324"/>
      <c r="AD26" s="310">
        <f>SUM(F26:AC26)</f>
        <v>11105</v>
      </c>
    </row>
    <row r="27" spans="1:30" s="201" customFormat="1" ht="18" customHeight="1" x14ac:dyDescent="0.35">
      <c r="A27" s="301">
        <v>18</v>
      </c>
      <c r="B27" s="321" t="s">
        <v>424</v>
      </c>
      <c r="C27" s="322" t="s">
        <v>425</v>
      </c>
      <c r="D27" s="321">
        <v>10</v>
      </c>
      <c r="E27" s="323" t="s">
        <v>426</v>
      </c>
      <c r="F27" s="307"/>
      <c r="G27" s="307"/>
      <c r="H27" s="307"/>
      <c r="I27" s="307"/>
      <c r="J27" s="307"/>
      <c r="K27" s="307"/>
      <c r="L27" s="311">
        <v>9006.3700000000008</v>
      </c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24"/>
      <c r="AA27" s="324"/>
      <c r="AB27" s="324"/>
      <c r="AC27" s="324"/>
      <c r="AD27" s="310">
        <f>SUM(F27:AC27)</f>
        <v>9006.3700000000008</v>
      </c>
    </row>
    <row r="28" spans="1:30" s="201" customFormat="1" ht="15.5" x14ac:dyDescent="0.35">
      <c r="A28" s="301">
        <v>19</v>
      </c>
      <c r="B28" s="321" t="s">
        <v>299</v>
      </c>
      <c r="C28" s="325" t="s">
        <v>300</v>
      </c>
      <c r="D28" s="321" t="s">
        <v>301</v>
      </c>
      <c r="E28" s="321" t="s">
        <v>302</v>
      </c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26"/>
      <c r="AA28" s="326"/>
      <c r="AB28" s="326"/>
      <c r="AC28" s="326"/>
      <c r="AD28" s="327">
        <f t="shared" si="0"/>
        <v>0</v>
      </c>
    </row>
    <row r="29" spans="1:30" s="201" customFormat="1" ht="15.5" x14ac:dyDescent="0.35">
      <c r="A29" s="301">
        <v>20</v>
      </c>
      <c r="B29" s="321" t="s">
        <v>303</v>
      </c>
      <c r="C29" s="325" t="s">
        <v>304</v>
      </c>
      <c r="D29" s="321" t="s">
        <v>305</v>
      </c>
      <c r="E29" s="321" t="s">
        <v>306</v>
      </c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26"/>
      <c r="AA29" s="326"/>
      <c r="AB29" s="326"/>
      <c r="AC29" s="326"/>
      <c r="AD29" s="327">
        <f t="shared" si="0"/>
        <v>0</v>
      </c>
    </row>
    <row r="30" spans="1:30" s="201" customFormat="1" ht="15.5" x14ac:dyDescent="0.35">
      <c r="A30" s="301">
        <v>21</v>
      </c>
      <c r="B30" s="321" t="s">
        <v>307</v>
      </c>
      <c r="C30" s="325" t="s">
        <v>308</v>
      </c>
      <c r="D30" s="321" t="s">
        <v>305</v>
      </c>
      <c r="E30" s="321" t="s">
        <v>309</v>
      </c>
      <c r="F30" s="311"/>
      <c r="G30" s="311"/>
      <c r="H30" s="311"/>
      <c r="I30" s="311"/>
      <c r="J30" s="311"/>
      <c r="K30" s="311"/>
      <c r="L30" s="311">
        <v>5833</v>
      </c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26"/>
      <c r="AA30" s="326"/>
      <c r="AB30" s="326"/>
      <c r="AC30" s="326"/>
      <c r="AD30" s="327">
        <f t="shared" si="0"/>
        <v>5833</v>
      </c>
    </row>
    <row r="31" spans="1:30" s="201" customFormat="1" ht="15.5" x14ac:dyDescent="0.35">
      <c r="A31" s="301">
        <v>22</v>
      </c>
      <c r="B31" s="321" t="s">
        <v>427</v>
      </c>
      <c r="C31" s="325" t="s">
        <v>310</v>
      </c>
      <c r="D31" s="321" t="s">
        <v>311</v>
      </c>
      <c r="E31" s="321" t="s">
        <v>312</v>
      </c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26"/>
      <c r="AA31" s="326"/>
      <c r="AB31" s="326"/>
      <c r="AC31" s="326"/>
      <c r="AD31" s="327">
        <f t="shared" si="0"/>
        <v>0</v>
      </c>
    </row>
    <row r="32" spans="1:30" s="201" customFormat="1" ht="15.5" x14ac:dyDescent="0.35">
      <c r="A32" s="301">
        <v>23</v>
      </c>
      <c r="B32" s="321" t="s">
        <v>428</v>
      </c>
      <c r="C32" s="325" t="s">
        <v>313</v>
      </c>
      <c r="D32" s="321" t="s">
        <v>314</v>
      </c>
      <c r="E32" s="321" t="s">
        <v>315</v>
      </c>
      <c r="F32" s="311">
        <v>1045.51</v>
      </c>
      <c r="G32" s="311"/>
      <c r="H32" s="311"/>
      <c r="I32" s="311">
        <v>756.46</v>
      </c>
      <c r="J32" s="311"/>
      <c r="K32" s="311"/>
      <c r="L32" s="311">
        <f>13779.75+1500+1046.33+123.32+217.82+262.8+250</f>
        <v>17180.02</v>
      </c>
      <c r="M32" s="311">
        <v>0</v>
      </c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26"/>
      <c r="AA32" s="326"/>
      <c r="AB32" s="326"/>
      <c r="AC32" s="326"/>
      <c r="AD32" s="327">
        <f>SUM(F32:AC32)</f>
        <v>18981.990000000002</v>
      </c>
    </row>
    <row r="33" spans="1:30" s="201" customFormat="1" ht="15.5" x14ac:dyDescent="0.35">
      <c r="A33" s="301">
        <v>24</v>
      </c>
      <c r="B33" s="321" t="s">
        <v>316</v>
      </c>
      <c r="C33" s="325" t="s">
        <v>317</v>
      </c>
      <c r="D33" s="321" t="s">
        <v>305</v>
      </c>
      <c r="E33" s="321" t="s">
        <v>318</v>
      </c>
      <c r="F33" s="311"/>
      <c r="G33" s="311"/>
      <c r="H33" s="311"/>
      <c r="I33" s="311"/>
      <c r="J33" s="311"/>
      <c r="K33" s="311"/>
      <c r="L33" s="311">
        <f>2677.94+1193</f>
        <v>3870.94</v>
      </c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26"/>
      <c r="AA33" s="326"/>
      <c r="AB33" s="326"/>
      <c r="AC33" s="326"/>
      <c r="AD33" s="327">
        <f>SUM(F33:AC33)</f>
        <v>3870.94</v>
      </c>
    </row>
    <row r="34" spans="1:30" s="201" customFormat="1" ht="15.5" x14ac:dyDescent="0.35">
      <c r="A34" s="301">
        <v>25</v>
      </c>
      <c r="B34" s="321" t="s">
        <v>319</v>
      </c>
      <c r="C34" s="325" t="s">
        <v>320</v>
      </c>
      <c r="D34" s="321" t="s">
        <v>321</v>
      </c>
      <c r="E34" s="321" t="s">
        <v>322</v>
      </c>
      <c r="F34" s="311"/>
      <c r="G34" s="311"/>
      <c r="H34" s="311"/>
      <c r="I34" s="311"/>
      <c r="J34" s="311"/>
      <c r="K34" s="311"/>
      <c r="L34" s="311">
        <v>977.55</v>
      </c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26"/>
      <c r="AA34" s="326"/>
      <c r="AB34" s="326"/>
      <c r="AC34" s="326"/>
      <c r="AD34" s="327">
        <f t="shared" si="0"/>
        <v>977.55</v>
      </c>
    </row>
    <row r="35" spans="1:30" s="201" customFormat="1" ht="15.5" x14ac:dyDescent="0.35">
      <c r="A35" s="301">
        <v>26</v>
      </c>
      <c r="B35" s="328" t="s">
        <v>429</v>
      </c>
      <c r="C35" s="325" t="s">
        <v>430</v>
      </c>
      <c r="D35" s="321" t="s">
        <v>431</v>
      </c>
      <c r="E35" s="321" t="s">
        <v>432</v>
      </c>
      <c r="F35" s="311"/>
      <c r="G35" s="311"/>
      <c r="H35" s="311"/>
      <c r="I35" s="311"/>
      <c r="J35" s="311"/>
      <c r="K35" s="311"/>
      <c r="L35" s="311">
        <v>1000</v>
      </c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26"/>
      <c r="AA35" s="326"/>
      <c r="AB35" s="326"/>
      <c r="AC35" s="326"/>
      <c r="AD35" s="327">
        <f>SUM(F35:AC35)</f>
        <v>1000</v>
      </c>
    </row>
    <row r="36" spans="1:30" s="201" customFormat="1" ht="15.5" x14ac:dyDescent="0.35">
      <c r="A36" s="301">
        <v>27</v>
      </c>
      <c r="B36" s="315" t="s">
        <v>433</v>
      </c>
      <c r="C36" s="316" t="s">
        <v>434</v>
      </c>
      <c r="D36" s="315" t="s">
        <v>305</v>
      </c>
      <c r="E36" s="315" t="s">
        <v>435</v>
      </c>
      <c r="F36" s="329"/>
      <c r="G36" s="329"/>
      <c r="H36" s="329"/>
      <c r="I36" s="329"/>
      <c r="J36" s="329"/>
      <c r="K36" s="329"/>
      <c r="L36" s="329">
        <v>3000</v>
      </c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30"/>
      <c r="AA36" s="330"/>
      <c r="AB36" s="330"/>
      <c r="AC36" s="330"/>
      <c r="AD36" s="327">
        <f t="shared" si="0"/>
        <v>3000</v>
      </c>
    </row>
    <row r="37" spans="1:30" s="201" customFormat="1" ht="15.5" x14ac:dyDescent="0.35">
      <c r="A37" s="301">
        <v>28</v>
      </c>
      <c r="B37" s="315" t="s">
        <v>323</v>
      </c>
      <c r="C37" s="312" t="s">
        <v>436</v>
      </c>
      <c r="D37" s="315">
        <v>30</v>
      </c>
      <c r="E37" s="315" t="s">
        <v>386</v>
      </c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>
        <v>2500</v>
      </c>
      <c r="Y37" s="329"/>
      <c r="Z37" s="330"/>
      <c r="AA37" s="330"/>
      <c r="AB37" s="330"/>
      <c r="AC37" s="330"/>
      <c r="AD37" s="327">
        <f t="shared" si="0"/>
        <v>2500</v>
      </c>
    </row>
    <row r="38" spans="1:30" s="201" customFormat="1" ht="15.5" x14ac:dyDescent="0.35">
      <c r="A38" s="301">
        <v>29</v>
      </c>
      <c r="B38" s="315" t="s">
        <v>324</v>
      </c>
      <c r="C38" s="312" t="s">
        <v>325</v>
      </c>
      <c r="D38" s="321" t="s">
        <v>326</v>
      </c>
      <c r="E38" s="315" t="s">
        <v>309</v>
      </c>
      <c r="F38" s="329">
        <v>1045.51</v>
      </c>
      <c r="G38" s="329"/>
      <c r="H38" s="329"/>
      <c r="I38" s="329">
        <v>756.46</v>
      </c>
      <c r="J38" s="329"/>
      <c r="K38" s="329"/>
      <c r="L38" s="329">
        <f>1614+289.91+7690.85+177.2</f>
        <v>9771.9600000000009</v>
      </c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30"/>
      <c r="AA38" s="330"/>
      <c r="AB38" s="330"/>
      <c r="AC38" s="330"/>
      <c r="AD38" s="327">
        <f t="shared" si="0"/>
        <v>11573.93</v>
      </c>
    </row>
    <row r="39" spans="1:30" s="201" customFormat="1" ht="15.5" x14ac:dyDescent="0.35">
      <c r="A39" s="301">
        <v>30</v>
      </c>
      <c r="B39" s="320" t="s">
        <v>437</v>
      </c>
      <c r="C39" s="312" t="s">
        <v>438</v>
      </c>
      <c r="D39" s="321" t="s">
        <v>431</v>
      </c>
      <c r="E39" s="315" t="s">
        <v>439</v>
      </c>
      <c r="F39" s="329"/>
      <c r="G39" s="329"/>
      <c r="H39" s="329"/>
      <c r="I39" s="329"/>
      <c r="J39" s="329"/>
      <c r="K39" s="329"/>
      <c r="L39" s="329">
        <v>1028</v>
      </c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30"/>
      <c r="AA39" s="330"/>
      <c r="AB39" s="330"/>
      <c r="AC39" s="330"/>
      <c r="AD39" s="327">
        <f t="shared" si="0"/>
        <v>1028</v>
      </c>
    </row>
    <row r="40" spans="1:30" s="201" customFormat="1" ht="15.5" x14ac:dyDescent="0.35">
      <c r="A40" s="301">
        <v>31</v>
      </c>
      <c r="B40" s="315" t="s">
        <v>440</v>
      </c>
      <c r="C40" s="312" t="s">
        <v>441</v>
      </c>
      <c r="D40" s="321" t="s">
        <v>442</v>
      </c>
      <c r="E40" s="315" t="s">
        <v>443</v>
      </c>
      <c r="F40" s="329"/>
      <c r="G40" s="329"/>
      <c r="H40" s="329"/>
      <c r="I40" s="329"/>
      <c r="J40" s="329"/>
      <c r="K40" s="329"/>
      <c r="L40" s="329">
        <v>3218</v>
      </c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30"/>
      <c r="AA40" s="330"/>
      <c r="AB40" s="330"/>
      <c r="AC40" s="330"/>
      <c r="AD40" s="327">
        <f t="shared" si="0"/>
        <v>3218</v>
      </c>
    </row>
    <row r="41" spans="1:30" s="201" customFormat="1" ht="15.5" x14ac:dyDescent="0.35">
      <c r="A41" s="301">
        <v>32</v>
      </c>
      <c r="B41" s="315" t="s">
        <v>327</v>
      </c>
      <c r="C41" s="312" t="s">
        <v>328</v>
      </c>
      <c r="D41" s="321" t="s">
        <v>329</v>
      </c>
      <c r="E41" s="315" t="s">
        <v>330</v>
      </c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30"/>
      <c r="AA41" s="330"/>
      <c r="AB41" s="330"/>
      <c r="AC41" s="330"/>
      <c r="AD41" s="327">
        <f t="shared" si="0"/>
        <v>0</v>
      </c>
    </row>
    <row r="42" spans="1:30" s="201" customFormat="1" ht="15.5" x14ac:dyDescent="0.35">
      <c r="A42" s="301">
        <v>33</v>
      </c>
      <c r="B42" s="315" t="s">
        <v>331</v>
      </c>
      <c r="C42" s="312" t="s">
        <v>332</v>
      </c>
      <c r="D42" s="321" t="s">
        <v>329</v>
      </c>
      <c r="E42" s="315" t="s">
        <v>333</v>
      </c>
      <c r="F42" s="329"/>
      <c r="G42" s="329"/>
      <c r="H42" s="329"/>
      <c r="I42" s="329"/>
      <c r="J42" s="329"/>
      <c r="K42" s="329"/>
      <c r="L42" s="329">
        <v>0</v>
      </c>
      <c r="M42" s="329"/>
      <c r="N42" s="329"/>
      <c r="O42" s="329"/>
      <c r="P42" s="329"/>
      <c r="Q42" s="329"/>
      <c r="R42" s="329">
        <v>0</v>
      </c>
      <c r="S42" s="329"/>
      <c r="T42" s="329"/>
      <c r="U42" s="329"/>
      <c r="V42" s="329"/>
      <c r="W42" s="329"/>
      <c r="X42" s="329"/>
      <c r="Y42" s="329"/>
      <c r="Z42" s="330"/>
      <c r="AA42" s="330"/>
      <c r="AB42" s="330"/>
      <c r="AC42" s="330"/>
      <c r="AD42" s="327">
        <f t="shared" si="0"/>
        <v>0</v>
      </c>
    </row>
    <row r="43" spans="1:30" s="201" customFormat="1" ht="15.5" x14ac:dyDescent="0.35">
      <c r="A43" s="301">
        <v>34</v>
      </c>
      <c r="B43" s="315" t="s">
        <v>334</v>
      </c>
      <c r="C43" s="312" t="s">
        <v>328</v>
      </c>
      <c r="D43" s="321" t="s">
        <v>329</v>
      </c>
      <c r="E43" s="315" t="s">
        <v>330</v>
      </c>
      <c r="F43" s="329"/>
      <c r="G43" s="329"/>
      <c r="H43" s="329"/>
      <c r="I43" s="329"/>
      <c r="J43" s="329"/>
      <c r="K43" s="329">
        <v>0</v>
      </c>
      <c r="L43" s="329"/>
      <c r="M43" s="329"/>
      <c r="N43" s="329"/>
      <c r="O43" s="329"/>
      <c r="P43" s="329"/>
      <c r="Q43" s="329"/>
      <c r="R43" s="329">
        <v>0</v>
      </c>
      <c r="S43" s="329"/>
      <c r="T43" s="329"/>
      <c r="U43" s="329"/>
      <c r="V43" s="329"/>
      <c r="W43" s="329"/>
      <c r="X43" s="329"/>
      <c r="Y43" s="329"/>
      <c r="Z43" s="330"/>
      <c r="AA43" s="330"/>
      <c r="AB43" s="330"/>
      <c r="AC43" s="330"/>
      <c r="AD43" s="327">
        <f t="shared" si="0"/>
        <v>0</v>
      </c>
    </row>
    <row r="44" spans="1:30" s="201" customFormat="1" ht="15.5" x14ac:dyDescent="0.35">
      <c r="A44" s="301">
        <v>35</v>
      </c>
      <c r="B44" s="315" t="s">
        <v>444</v>
      </c>
      <c r="C44" s="312" t="s">
        <v>445</v>
      </c>
      <c r="D44" s="321" t="s">
        <v>446</v>
      </c>
      <c r="E44" s="315" t="s">
        <v>447</v>
      </c>
      <c r="F44" s="329">
        <v>1046</v>
      </c>
      <c r="G44" s="329"/>
      <c r="H44" s="329"/>
      <c r="I44" s="329">
        <v>756</v>
      </c>
      <c r="J44" s="329"/>
      <c r="K44" s="329"/>
      <c r="L44" s="329">
        <v>10000</v>
      </c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30"/>
      <c r="AA44" s="330"/>
      <c r="AB44" s="330"/>
      <c r="AC44" s="330"/>
      <c r="AD44" s="327">
        <f t="shared" si="0"/>
        <v>11802</v>
      </c>
    </row>
    <row r="45" spans="1:30" s="201" customFormat="1" ht="15.5" x14ac:dyDescent="0.35">
      <c r="A45" s="301">
        <v>36</v>
      </c>
      <c r="B45" s="320" t="s">
        <v>448</v>
      </c>
      <c r="C45" s="312" t="s">
        <v>449</v>
      </c>
      <c r="D45" s="321">
        <v>100</v>
      </c>
      <c r="E45" s="315" t="s">
        <v>330</v>
      </c>
      <c r="F45" s="329"/>
      <c r="G45" s="329"/>
      <c r="H45" s="329"/>
      <c r="I45" s="329"/>
      <c r="J45" s="329"/>
      <c r="K45" s="329"/>
      <c r="L45" s="329"/>
      <c r="M45" s="329"/>
      <c r="N45" s="329"/>
      <c r="O45" s="329">
        <f>1555-782</f>
        <v>773</v>
      </c>
      <c r="P45" s="329"/>
      <c r="Q45" s="329"/>
      <c r="R45" s="329"/>
      <c r="S45" s="329">
        <v>499.09</v>
      </c>
      <c r="T45" s="329"/>
      <c r="U45" s="329"/>
      <c r="V45" s="329"/>
      <c r="W45" s="329"/>
      <c r="X45" s="329"/>
      <c r="Y45" s="329"/>
      <c r="Z45" s="330"/>
      <c r="AA45" s="330"/>
      <c r="AB45" s="330"/>
      <c r="AC45" s="330"/>
      <c r="AD45" s="327">
        <f t="shared" si="0"/>
        <v>1272.0899999999999</v>
      </c>
    </row>
    <row r="46" spans="1:30" s="201" customFormat="1" ht="15.5" x14ac:dyDescent="0.35">
      <c r="A46" s="301">
        <v>37</v>
      </c>
      <c r="B46" s="315" t="s">
        <v>450</v>
      </c>
      <c r="C46" s="312" t="s">
        <v>335</v>
      </c>
      <c r="D46" s="315">
        <v>50</v>
      </c>
      <c r="E46" s="315" t="s">
        <v>336</v>
      </c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>
        <v>922.88</v>
      </c>
      <c r="V46" s="329"/>
      <c r="W46" s="329"/>
      <c r="X46" s="329"/>
      <c r="Y46" s="329"/>
      <c r="Z46" s="330"/>
      <c r="AA46" s="330"/>
      <c r="AB46" s="330"/>
      <c r="AC46" s="330"/>
      <c r="AD46" s="327">
        <f t="shared" si="0"/>
        <v>922.88</v>
      </c>
    </row>
    <row r="47" spans="1:30" s="201" customFormat="1" ht="15.5" x14ac:dyDescent="0.35">
      <c r="A47" s="301">
        <v>38</v>
      </c>
      <c r="B47" s="315" t="s">
        <v>450</v>
      </c>
      <c r="C47" s="316" t="s">
        <v>337</v>
      </c>
      <c r="D47" s="315">
        <v>100</v>
      </c>
      <c r="E47" s="315" t="s">
        <v>336</v>
      </c>
      <c r="F47" s="331"/>
      <c r="G47" s="331"/>
      <c r="H47" s="331"/>
      <c r="I47" s="329"/>
      <c r="J47" s="329"/>
      <c r="K47" s="329"/>
      <c r="L47" s="329"/>
      <c r="M47" s="329"/>
      <c r="N47" s="329"/>
      <c r="O47" s="329">
        <v>1730.1</v>
      </c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30"/>
      <c r="AA47" s="330"/>
      <c r="AB47" s="330"/>
      <c r="AC47" s="330"/>
      <c r="AD47" s="327">
        <f t="shared" si="0"/>
        <v>1730.1</v>
      </c>
    </row>
    <row r="48" spans="1:30" s="201" customFormat="1" ht="15.5" x14ac:dyDescent="0.35">
      <c r="A48" s="301">
        <v>39</v>
      </c>
      <c r="B48" s="332" t="s">
        <v>451</v>
      </c>
      <c r="C48" s="333" t="s">
        <v>338</v>
      </c>
      <c r="D48" s="334">
        <v>70</v>
      </c>
      <c r="E48" s="334" t="s">
        <v>131</v>
      </c>
      <c r="F48" s="335"/>
      <c r="G48" s="335"/>
      <c r="H48" s="335"/>
      <c r="I48" s="336"/>
      <c r="J48" s="336"/>
      <c r="K48" s="336"/>
      <c r="L48" s="336"/>
      <c r="M48" s="336"/>
      <c r="N48" s="336"/>
      <c r="O48" s="336">
        <f>500+277.15</f>
        <v>777.15</v>
      </c>
      <c r="P48" s="336"/>
      <c r="Q48" s="336"/>
      <c r="R48" s="336">
        <v>0</v>
      </c>
      <c r="S48" s="336"/>
      <c r="T48" s="336"/>
      <c r="U48" s="336"/>
      <c r="V48" s="336"/>
      <c r="W48" s="336"/>
      <c r="X48" s="336"/>
      <c r="Y48" s="336"/>
      <c r="Z48" s="337"/>
      <c r="AA48" s="337"/>
      <c r="AB48" s="337"/>
      <c r="AC48" s="337"/>
      <c r="AD48" s="327">
        <f t="shared" si="0"/>
        <v>777.15</v>
      </c>
    </row>
    <row r="49" spans="1:30" s="201" customFormat="1" ht="15.5" x14ac:dyDescent="0.35">
      <c r="A49" s="301">
        <v>40</v>
      </c>
      <c r="B49" s="320" t="s">
        <v>452</v>
      </c>
      <c r="C49" s="333" t="s">
        <v>339</v>
      </c>
      <c r="D49" s="334">
        <v>300</v>
      </c>
      <c r="E49" s="334" t="s">
        <v>131</v>
      </c>
      <c r="F49" s="329"/>
      <c r="G49" s="329"/>
      <c r="H49" s="329">
        <v>1813</v>
      </c>
      <c r="I49" s="329"/>
      <c r="J49" s="336"/>
      <c r="K49" s="336"/>
      <c r="L49" s="336"/>
      <c r="M49" s="336">
        <v>0</v>
      </c>
      <c r="N49" s="336"/>
      <c r="O49" s="336">
        <v>7654</v>
      </c>
      <c r="P49" s="336"/>
      <c r="Q49" s="336"/>
      <c r="R49" s="336">
        <v>200</v>
      </c>
      <c r="S49" s="336">
        <v>2085</v>
      </c>
      <c r="T49" s="336"/>
      <c r="U49" s="336"/>
      <c r="V49" s="336"/>
      <c r="W49" s="336"/>
      <c r="X49" s="336"/>
      <c r="Y49" s="336"/>
      <c r="Z49" s="337"/>
      <c r="AA49" s="337"/>
      <c r="AB49" s="337"/>
      <c r="AC49" s="337"/>
      <c r="AD49" s="327">
        <f t="shared" si="0"/>
        <v>11752</v>
      </c>
    </row>
    <row r="50" spans="1:30" s="201" customFormat="1" ht="15.5" x14ac:dyDescent="0.35">
      <c r="A50" s="301">
        <v>41</v>
      </c>
      <c r="B50" s="315" t="s">
        <v>453</v>
      </c>
      <c r="C50" s="333" t="s">
        <v>340</v>
      </c>
      <c r="D50" s="334"/>
      <c r="E50" s="334"/>
      <c r="F50" s="335"/>
      <c r="G50" s="335"/>
      <c r="H50" s="335"/>
      <c r="I50" s="336"/>
      <c r="J50" s="336"/>
      <c r="K50" s="336"/>
      <c r="L50" s="336"/>
      <c r="M50" s="336"/>
      <c r="N50" s="336"/>
      <c r="O50" s="336">
        <v>5250</v>
      </c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7"/>
      <c r="AA50" s="337"/>
      <c r="AB50" s="337"/>
      <c r="AC50" s="337"/>
      <c r="AD50" s="327">
        <f>SUM(F50:AC50)</f>
        <v>5250</v>
      </c>
    </row>
    <row r="51" spans="1:30" s="201" customFormat="1" ht="15.5" x14ac:dyDescent="0.35">
      <c r="A51" s="301">
        <v>42</v>
      </c>
      <c r="B51" s="315" t="s">
        <v>450</v>
      </c>
      <c r="C51" s="333" t="s">
        <v>341</v>
      </c>
      <c r="D51" s="334"/>
      <c r="E51" s="334"/>
      <c r="F51" s="335"/>
      <c r="G51" s="335"/>
      <c r="H51" s="335"/>
      <c r="I51" s="336"/>
      <c r="J51" s="336"/>
      <c r="K51" s="336"/>
      <c r="L51" s="336"/>
      <c r="M51" s="336"/>
      <c r="N51" s="336">
        <v>750</v>
      </c>
      <c r="O51" s="336"/>
      <c r="P51" s="336"/>
      <c r="Q51" s="336"/>
      <c r="R51" s="336">
        <v>1000</v>
      </c>
      <c r="S51" s="336"/>
      <c r="T51" s="336"/>
      <c r="U51" s="336"/>
      <c r="V51" s="336"/>
      <c r="W51" s="336"/>
      <c r="X51" s="336"/>
      <c r="Y51" s="336"/>
      <c r="Z51" s="337"/>
      <c r="AA51" s="337"/>
      <c r="AB51" s="337"/>
      <c r="AC51" s="337"/>
      <c r="AD51" s="327">
        <f>SUM(F51:AC51)</f>
        <v>1750</v>
      </c>
    </row>
    <row r="52" spans="1:30" s="201" customFormat="1" ht="15.5" x14ac:dyDescent="0.35">
      <c r="A52" s="301">
        <v>43</v>
      </c>
      <c r="B52" s="315" t="s">
        <v>450</v>
      </c>
      <c r="C52" s="333" t="s">
        <v>342</v>
      </c>
      <c r="D52" s="334"/>
      <c r="E52" s="334"/>
      <c r="F52" s="335"/>
      <c r="G52" s="335"/>
      <c r="H52" s="335"/>
      <c r="I52" s="336"/>
      <c r="J52" s="336"/>
      <c r="K52" s="336"/>
      <c r="L52" s="336"/>
      <c r="M52" s="336"/>
      <c r="N52" s="336"/>
      <c r="O52" s="336"/>
      <c r="P52" s="336">
        <v>766</v>
      </c>
      <c r="Q52" s="336"/>
      <c r="R52" s="336"/>
      <c r="S52" s="336"/>
      <c r="T52" s="336"/>
      <c r="U52" s="336"/>
      <c r="V52" s="336"/>
      <c r="W52" s="336"/>
      <c r="X52" s="336"/>
      <c r="Y52" s="336"/>
      <c r="Z52" s="337"/>
      <c r="AA52" s="337"/>
      <c r="AB52" s="337">
        <v>5000</v>
      </c>
      <c r="AC52" s="337"/>
      <c r="AD52" s="327">
        <f t="shared" si="0"/>
        <v>5766</v>
      </c>
    </row>
    <row r="53" spans="1:30" s="201" customFormat="1" ht="15.5" x14ac:dyDescent="0.35">
      <c r="A53" s="301">
        <v>44</v>
      </c>
      <c r="B53" s="315" t="s">
        <v>450</v>
      </c>
      <c r="C53" s="333" t="s">
        <v>343</v>
      </c>
      <c r="D53" s="334"/>
      <c r="E53" s="334"/>
      <c r="F53" s="335"/>
      <c r="G53" s="335"/>
      <c r="H53" s="335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7"/>
      <c r="AA53" s="337"/>
      <c r="AB53" s="337"/>
      <c r="AC53" s="337">
        <v>4000</v>
      </c>
      <c r="AD53" s="327">
        <f t="shared" si="0"/>
        <v>4000</v>
      </c>
    </row>
    <row r="54" spans="1:30" s="201" customFormat="1" ht="16" thickBot="1" x14ac:dyDescent="0.4">
      <c r="A54" s="338"/>
      <c r="B54" s="339" t="s">
        <v>344</v>
      </c>
      <c r="C54" s="340" t="s">
        <v>344</v>
      </c>
      <c r="D54" s="341"/>
      <c r="E54" s="340" t="s">
        <v>344</v>
      </c>
      <c r="F54" s="342">
        <f>SUM(F10:F53)</f>
        <v>6443.02</v>
      </c>
      <c r="G54" s="342">
        <f t="shared" ref="G54:AC54" si="1">SUM(G10:G53)</f>
        <v>0</v>
      </c>
      <c r="H54" s="342">
        <f t="shared" si="1"/>
        <v>1813</v>
      </c>
      <c r="I54" s="342">
        <f>SUM(I10:I53)</f>
        <v>4506.92</v>
      </c>
      <c r="J54" s="342">
        <f t="shared" si="1"/>
        <v>0</v>
      </c>
      <c r="K54" s="342">
        <f>SUM(K10:K53)</f>
        <v>650</v>
      </c>
      <c r="L54" s="342">
        <f>SUM(L10:L53)</f>
        <v>113545.84000000001</v>
      </c>
      <c r="M54" s="342">
        <f t="shared" si="1"/>
        <v>0</v>
      </c>
      <c r="N54" s="342">
        <f t="shared" si="1"/>
        <v>750</v>
      </c>
      <c r="O54" s="342">
        <f>SUM(O10:O53)</f>
        <v>24189.25</v>
      </c>
      <c r="P54" s="342">
        <f>SUM(P10:P53)</f>
        <v>2466</v>
      </c>
      <c r="Q54" s="342">
        <f t="shared" si="1"/>
        <v>0</v>
      </c>
      <c r="R54" s="342">
        <f>SUM(R10:R53)</f>
        <v>2981</v>
      </c>
      <c r="S54" s="342">
        <f>SUM(S10:S53)</f>
        <v>13894.09</v>
      </c>
      <c r="T54" s="342">
        <f t="shared" si="1"/>
        <v>0</v>
      </c>
      <c r="U54" s="342">
        <f t="shared" si="1"/>
        <v>922.88</v>
      </c>
      <c r="V54" s="342">
        <f t="shared" si="1"/>
        <v>0</v>
      </c>
      <c r="W54" s="342">
        <f t="shared" si="1"/>
        <v>0</v>
      </c>
      <c r="X54" s="342">
        <f t="shared" si="1"/>
        <v>2500</v>
      </c>
      <c r="Y54" s="342">
        <f t="shared" si="1"/>
        <v>0</v>
      </c>
      <c r="Z54" s="342">
        <f t="shared" si="1"/>
        <v>0</v>
      </c>
      <c r="AA54" s="342">
        <f t="shared" si="1"/>
        <v>0</v>
      </c>
      <c r="AB54" s="342">
        <f t="shared" si="1"/>
        <v>5000</v>
      </c>
      <c r="AC54" s="342">
        <f t="shared" si="1"/>
        <v>4000</v>
      </c>
      <c r="AD54" s="343">
        <f>SUM(AD10:AD53)</f>
        <v>183662</v>
      </c>
    </row>
    <row r="55" spans="1:30" s="201" customFormat="1" ht="15.5" x14ac:dyDescent="0.35">
      <c r="A55" s="218"/>
      <c r="B55" s="219"/>
      <c r="C55" s="219"/>
      <c r="D55" s="220"/>
      <c r="E55" s="219"/>
      <c r="F55" s="221"/>
      <c r="G55" s="221"/>
      <c r="H55" s="221"/>
      <c r="I55" s="222"/>
      <c r="J55" s="222"/>
      <c r="K55" s="222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AA55" s="223"/>
      <c r="AB55" s="223"/>
      <c r="AC55" s="223"/>
      <c r="AD55" s="224"/>
    </row>
    <row r="56" spans="1:30" ht="15" x14ac:dyDescent="0.3">
      <c r="Y56" s="289"/>
    </row>
    <row r="57" spans="1:30" ht="15.5" x14ac:dyDescent="0.35">
      <c r="B57" s="199"/>
      <c r="C57" s="201"/>
      <c r="D57" s="201"/>
      <c r="E57" s="483" t="s">
        <v>454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  <c r="AA57" s="483"/>
      <c r="AB57" s="483"/>
      <c r="AC57" s="483"/>
      <c r="AD57" s="483"/>
    </row>
    <row r="58" spans="1:30" x14ac:dyDescent="0.3">
      <c r="AD58" s="290"/>
    </row>
    <row r="59" spans="1:30" x14ac:dyDescent="0.3">
      <c r="AD59" s="290"/>
    </row>
  </sheetData>
  <mergeCells count="3">
    <mergeCell ref="F1:T1"/>
    <mergeCell ref="X1:AD1"/>
    <mergeCell ref="E57:AD5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7DCD-D0CE-F946-8DF1-4BD58A13C2F9}">
  <dimension ref="A1:AO40"/>
  <sheetViews>
    <sheetView zoomScale="110" zoomScaleNormal="110" workbookViewId="0">
      <selection activeCell="F45" sqref="F45"/>
    </sheetView>
  </sheetViews>
  <sheetFormatPr defaultColWidth="11.5" defaultRowHeight="12.5" x14ac:dyDescent="0.25"/>
  <cols>
    <col min="1" max="1" width="5" style="171" customWidth="1"/>
    <col min="2" max="2" width="14" style="233" customWidth="1"/>
    <col min="3" max="3" width="30.33203125" style="233" customWidth="1"/>
    <col min="4" max="4" width="6.83203125" style="233" customWidth="1"/>
    <col min="5" max="5" width="15.5" style="233" customWidth="1"/>
    <col min="6" max="6" width="6.33203125" style="233" bestFit="1" customWidth="1"/>
    <col min="7" max="7" width="9.6640625" style="233" bestFit="1" customWidth="1"/>
    <col min="8" max="8" width="7.6640625" style="277" bestFit="1" customWidth="1"/>
    <col min="9" max="9" width="5.33203125" style="233" bestFit="1" customWidth="1"/>
    <col min="10" max="10" width="5.33203125" style="233" customWidth="1"/>
    <col min="11" max="11" width="5.33203125" style="233" bestFit="1" customWidth="1"/>
    <col min="12" max="12" width="7.5" style="233" bestFit="1" customWidth="1"/>
    <col min="13" max="13" width="6.33203125" style="233" bestFit="1" customWidth="1"/>
    <col min="14" max="14" width="9.6640625" style="233" bestFit="1" customWidth="1"/>
    <col min="15" max="15" width="5.33203125" style="233" customWidth="1"/>
    <col min="16" max="16" width="6" style="233" customWidth="1"/>
    <col min="17" max="18" width="5.33203125" style="233" customWidth="1"/>
    <col min="19" max="19" width="5.5" style="233" bestFit="1" customWidth="1"/>
    <col min="20" max="20" width="9.6640625" style="233" bestFit="1" customWidth="1"/>
    <col min="21" max="21" width="5.5" style="233" bestFit="1" customWidth="1"/>
    <col min="22" max="22" width="9.6640625" style="233" bestFit="1" customWidth="1"/>
    <col min="23" max="23" width="9" style="171" customWidth="1"/>
    <col min="24" max="24" width="14.83203125" style="171" customWidth="1"/>
    <col min="25" max="16384" width="11.5" style="171"/>
  </cols>
  <sheetData>
    <row r="1" spans="1:41" s="227" customFormat="1" ht="15.5" customHeight="1" x14ac:dyDescent="0.35">
      <c r="A1" s="104" t="s">
        <v>345</v>
      </c>
      <c r="B1" s="225"/>
      <c r="C1" s="225"/>
      <c r="D1" s="225"/>
      <c r="E1" s="225"/>
      <c r="F1" s="225"/>
      <c r="G1" s="226"/>
      <c r="H1" s="225"/>
      <c r="I1" s="225"/>
      <c r="J1" s="225"/>
      <c r="K1" s="225"/>
      <c r="L1" s="225"/>
      <c r="M1" s="225"/>
      <c r="N1" s="225"/>
      <c r="O1" s="225"/>
      <c r="Q1" s="493" t="s">
        <v>346</v>
      </c>
      <c r="R1" s="493"/>
      <c r="S1" s="493"/>
      <c r="T1" s="493"/>
      <c r="U1" s="493"/>
      <c r="V1" s="493"/>
      <c r="W1" s="493"/>
      <c r="X1" s="225"/>
    </row>
    <row r="2" spans="1:41" s="227" customFormat="1" ht="15.5" x14ac:dyDescent="0.35">
      <c r="A2" s="104" t="s">
        <v>347</v>
      </c>
      <c r="C2" s="225"/>
      <c r="D2" s="225"/>
      <c r="E2" s="225"/>
      <c r="F2" s="225"/>
      <c r="G2" s="225"/>
      <c r="H2" s="226"/>
      <c r="I2" s="225"/>
      <c r="J2" s="225"/>
      <c r="K2" s="225"/>
      <c r="L2" s="225"/>
      <c r="M2" s="225"/>
      <c r="N2" s="225"/>
      <c r="O2" s="225"/>
      <c r="P2" s="225"/>
      <c r="Q2" s="493"/>
      <c r="R2" s="493"/>
      <c r="S2" s="493"/>
      <c r="T2" s="493"/>
      <c r="U2" s="493"/>
      <c r="V2" s="493"/>
      <c r="W2" s="493"/>
      <c r="X2" s="225"/>
    </row>
    <row r="3" spans="1:41" s="227" customFormat="1" ht="12" customHeight="1" x14ac:dyDescent="0.35">
      <c r="B3" s="225"/>
      <c r="C3" s="225"/>
      <c r="D3" s="225"/>
      <c r="E3" s="225"/>
      <c r="F3" s="225"/>
      <c r="G3" s="225"/>
      <c r="H3" s="226"/>
      <c r="I3" s="225"/>
      <c r="J3" s="225"/>
      <c r="K3" s="225"/>
      <c r="L3" s="225"/>
      <c r="M3" s="225"/>
      <c r="N3" s="225"/>
      <c r="O3" s="225"/>
      <c r="P3" s="225"/>
      <c r="Q3" s="228"/>
      <c r="R3" s="229"/>
      <c r="S3" s="229"/>
      <c r="T3" s="229"/>
      <c r="U3" s="225"/>
      <c r="V3" s="225"/>
      <c r="W3" s="225"/>
      <c r="X3" s="225"/>
    </row>
    <row r="4" spans="1:41" s="227" customFormat="1" ht="20" x14ac:dyDescent="0.4">
      <c r="A4" s="494" t="s">
        <v>348</v>
      </c>
      <c r="B4" s="494"/>
      <c r="C4" s="494"/>
      <c r="D4" s="494"/>
      <c r="E4" s="494"/>
      <c r="F4" s="494"/>
      <c r="G4" s="494"/>
      <c r="H4" s="494"/>
      <c r="I4" s="494"/>
      <c r="J4" s="225"/>
      <c r="K4" s="225"/>
      <c r="L4" s="225"/>
      <c r="M4" s="225"/>
      <c r="N4" s="225"/>
      <c r="O4" s="225"/>
      <c r="P4" s="225"/>
      <c r="Q4" s="225"/>
    </row>
    <row r="5" spans="1:41" s="227" customFormat="1" ht="15.75" customHeight="1" x14ac:dyDescent="0.35">
      <c r="A5" s="495" t="s">
        <v>349</v>
      </c>
      <c r="B5" s="495"/>
      <c r="C5" s="495"/>
      <c r="D5" s="495"/>
      <c r="E5" s="495"/>
      <c r="F5" s="495"/>
      <c r="G5" s="495"/>
      <c r="H5" s="495"/>
      <c r="I5" s="495"/>
      <c r="J5" s="225"/>
      <c r="K5" s="225"/>
      <c r="L5" s="225"/>
      <c r="M5" s="225"/>
      <c r="N5" s="225"/>
      <c r="O5" s="225"/>
      <c r="P5" s="225"/>
      <c r="Q5" s="225"/>
    </row>
    <row r="6" spans="1:41" s="227" customFormat="1" ht="15.5" x14ac:dyDescent="0.35">
      <c r="A6" s="230"/>
      <c r="B6" s="225"/>
      <c r="C6" s="225"/>
      <c r="D6" s="225"/>
      <c r="F6" s="90"/>
      <c r="G6" s="225"/>
      <c r="H6" s="226"/>
      <c r="I6" s="225"/>
      <c r="J6" s="225"/>
      <c r="K6" s="225"/>
      <c r="L6" s="225"/>
      <c r="M6" s="225"/>
      <c r="N6" s="225"/>
      <c r="O6" s="225"/>
      <c r="P6" s="225"/>
      <c r="Q6" s="225"/>
    </row>
    <row r="7" spans="1:41" s="227" customFormat="1" ht="18" x14ac:dyDescent="0.4">
      <c r="A7" s="231" t="s">
        <v>350</v>
      </c>
      <c r="B7" s="231"/>
      <c r="C7" s="231"/>
      <c r="D7" s="231"/>
      <c r="E7" s="225"/>
      <c r="F7" s="225"/>
      <c r="G7" s="225"/>
      <c r="H7" s="226"/>
      <c r="I7" s="225"/>
      <c r="J7" s="225"/>
      <c r="K7" s="225"/>
      <c r="L7" s="225"/>
      <c r="M7" s="225"/>
      <c r="N7" s="225"/>
      <c r="O7" s="225"/>
      <c r="P7" s="225"/>
      <c r="Q7" s="496" t="s">
        <v>351</v>
      </c>
      <c r="R7" s="496"/>
      <c r="S7" s="496"/>
      <c r="T7" s="496"/>
      <c r="U7" s="496"/>
      <c r="V7" s="496"/>
      <c r="W7" s="225"/>
    </row>
    <row r="8" spans="1:41" s="227" customFormat="1" ht="18" x14ac:dyDescent="0.4">
      <c r="A8" s="231" t="s">
        <v>352</v>
      </c>
      <c r="B8" s="231"/>
      <c r="C8" s="231"/>
      <c r="D8" s="231"/>
      <c r="E8" s="225"/>
      <c r="F8" s="90"/>
      <c r="G8" s="90"/>
      <c r="H8" s="232"/>
      <c r="I8" s="233"/>
      <c r="J8" s="90"/>
      <c r="K8" s="90"/>
      <c r="L8" s="90"/>
      <c r="M8" s="90"/>
      <c r="N8" s="90"/>
      <c r="O8" s="90"/>
      <c r="P8" s="225"/>
      <c r="Q8" s="234"/>
      <c r="R8" s="497" t="s">
        <v>353</v>
      </c>
      <c r="S8" s="497"/>
      <c r="T8" s="497"/>
      <c r="U8" s="497"/>
      <c r="V8" s="497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</row>
    <row r="9" spans="1:41" s="227" customFormat="1" ht="11" customHeight="1" x14ac:dyDescent="0.35">
      <c r="C9" s="225"/>
      <c r="D9" s="225"/>
      <c r="E9" s="225"/>
      <c r="F9" s="90"/>
      <c r="G9" s="90"/>
      <c r="H9" s="232"/>
      <c r="I9" s="90"/>
      <c r="J9" s="90"/>
      <c r="K9" s="90"/>
      <c r="L9" s="90"/>
      <c r="M9" s="90"/>
      <c r="N9" s="90"/>
      <c r="O9" s="90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</row>
    <row r="10" spans="1:41" ht="13" x14ac:dyDescent="0.3">
      <c r="A10" s="235"/>
      <c r="B10" s="236"/>
      <c r="C10" s="236"/>
      <c r="D10" s="237"/>
      <c r="E10" s="238" t="s">
        <v>354</v>
      </c>
      <c r="F10" s="239">
        <v>1110</v>
      </c>
      <c r="G10" s="240">
        <v>1150</v>
      </c>
      <c r="H10" s="240">
        <v>1210</v>
      </c>
      <c r="I10" s="241">
        <v>2110</v>
      </c>
      <c r="J10" s="241">
        <v>2120</v>
      </c>
      <c r="K10" s="240">
        <v>2210</v>
      </c>
      <c r="L10" s="241">
        <v>2220</v>
      </c>
      <c r="M10" s="241">
        <v>2230</v>
      </c>
      <c r="N10" s="239">
        <v>2240</v>
      </c>
      <c r="O10" s="240">
        <v>2250</v>
      </c>
      <c r="P10" s="241">
        <v>2260</v>
      </c>
      <c r="Q10" s="241">
        <v>2310</v>
      </c>
      <c r="R10" s="241">
        <v>2350</v>
      </c>
      <c r="S10" s="240">
        <v>2390</v>
      </c>
      <c r="T10" s="239">
        <v>3260</v>
      </c>
      <c r="U10" s="239">
        <v>5230</v>
      </c>
      <c r="V10" s="239">
        <v>7710</v>
      </c>
      <c r="W10" s="498" t="s">
        <v>267</v>
      </c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</row>
    <row r="11" spans="1:41" s="251" customFormat="1" ht="122" x14ac:dyDescent="0.25">
      <c r="A11" s="242" t="s">
        <v>355</v>
      </c>
      <c r="B11" s="242" t="s">
        <v>356</v>
      </c>
      <c r="C11" s="242" t="s">
        <v>357</v>
      </c>
      <c r="D11" s="242" t="s">
        <v>358</v>
      </c>
      <c r="E11" s="243" t="s">
        <v>242</v>
      </c>
      <c r="F11" s="244" t="s">
        <v>243</v>
      </c>
      <c r="G11" s="245" t="s">
        <v>245</v>
      </c>
      <c r="H11" s="246" t="s">
        <v>359</v>
      </c>
      <c r="I11" s="247" t="s">
        <v>360</v>
      </c>
      <c r="J11" s="245" t="s">
        <v>361</v>
      </c>
      <c r="K11" s="245" t="s">
        <v>250</v>
      </c>
      <c r="L11" s="245" t="s">
        <v>251</v>
      </c>
      <c r="M11" s="245" t="s">
        <v>252</v>
      </c>
      <c r="N11" s="248" t="s">
        <v>253</v>
      </c>
      <c r="O11" s="245" t="s">
        <v>254</v>
      </c>
      <c r="P11" s="244" t="s">
        <v>255</v>
      </c>
      <c r="Q11" s="245" t="s">
        <v>256</v>
      </c>
      <c r="R11" s="245" t="s">
        <v>259</v>
      </c>
      <c r="S11" s="245" t="s">
        <v>362</v>
      </c>
      <c r="T11" s="248" t="s">
        <v>363</v>
      </c>
      <c r="U11" s="249" t="s">
        <v>265</v>
      </c>
      <c r="V11" s="250" t="s">
        <v>266</v>
      </c>
      <c r="W11" s="499"/>
    </row>
    <row r="12" spans="1:41" s="254" customFormat="1" ht="11" customHeight="1" x14ac:dyDescent="0.25">
      <c r="A12" s="484" t="s">
        <v>364</v>
      </c>
      <c r="B12" s="485"/>
      <c r="C12" s="485"/>
      <c r="D12" s="485"/>
      <c r="E12" s="486"/>
      <c r="F12" s="252">
        <f t="shared" ref="F12:V12" si="0">SUM(F13:F22)</f>
        <v>0</v>
      </c>
      <c r="G12" s="252">
        <f t="shared" si="0"/>
        <v>0</v>
      </c>
      <c r="H12" s="252">
        <f t="shared" si="0"/>
        <v>0</v>
      </c>
      <c r="I12" s="252">
        <f t="shared" si="0"/>
        <v>0</v>
      </c>
      <c r="J12" s="252">
        <f>SUM(J13:J22)</f>
        <v>13781.130000000001</v>
      </c>
      <c r="K12" s="252">
        <f>SUM(K13:K22)</f>
        <v>0</v>
      </c>
      <c r="L12" s="252">
        <f t="shared" si="0"/>
        <v>0</v>
      </c>
      <c r="M12" s="252">
        <f t="shared" si="0"/>
        <v>7022</v>
      </c>
      <c r="N12" s="252">
        <f t="shared" si="0"/>
        <v>0</v>
      </c>
      <c r="O12" s="252">
        <f t="shared" si="0"/>
        <v>0</v>
      </c>
      <c r="P12" s="252">
        <f t="shared" si="0"/>
        <v>350</v>
      </c>
      <c r="Q12" s="252">
        <f t="shared" si="0"/>
        <v>4416</v>
      </c>
      <c r="R12" s="252">
        <f t="shared" si="0"/>
        <v>0</v>
      </c>
      <c r="S12" s="252">
        <f t="shared" si="0"/>
        <v>0</v>
      </c>
      <c r="T12" s="252">
        <f t="shared" si="0"/>
        <v>0</v>
      </c>
      <c r="U12" s="252">
        <f t="shared" si="0"/>
        <v>0</v>
      </c>
      <c r="V12" s="252">
        <f t="shared" si="0"/>
        <v>0</v>
      </c>
      <c r="W12" s="253">
        <f>SUM(F12:V12)</f>
        <v>25569.13</v>
      </c>
    </row>
    <row r="13" spans="1:41" s="260" customFormat="1" ht="10" x14ac:dyDescent="0.2">
      <c r="A13" s="255">
        <v>1</v>
      </c>
      <c r="B13" s="256" t="s">
        <v>365</v>
      </c>
      <c r="C13" s="257" t="s">
        <v>366</v>
      </c>
      <c r="D13" s="256">
        <v>15</v>
      </c>
      <c r="E13" s="256" t="s">
        <v>367</v>
      </c>
      <c r="F13" s="258"/>
      <c r="G13" s="258"/>
      <c r="H13" s="258"/>
      <c r="I13" s="258"/>
      <c r="J13" s="258">
        <v>5638</v>
      </c>
      <c r="K13" s="258"/>
      <c r="L13" s="258"/>
      <c r="M13" s="258"/>
      <c r="N13" s="259"/>
      <c r="O13" s="259"/>
      <c r="P13" s="259"/>
      <c r="Q13" s="259"/>
      <c r="R13" s="259"/>
      <c r="S13" s="259"/>
      <c r="T13" s="259"/>
      <c r="U13" s="259"/>
      <c r="V13" s="259"/>
      <c r="W13" s="259">
        <f t="shared" ref="W13:W22" si="1">SUM(F13:V13)</f>
        <v>5638</v>
      </c>
    </row>
    <row r="14" spans="1:41" s="260" customFormat="1" ht="10" x14ac:dyDescent="0.2">
      <c r="A14" s="255">
        <v>2</v>
      </c>
      <c r="B14" s="255" t="s">
        <v>368</v>
      </c>
      <c r="C14" s="261" t="s">
        <v>369</v>
      </c>
      <c r="D14" s="255">
        <v>8</v>
      </c>
      <c r="E14" s="255" t="s">
        <v>370</v>
      </c>
      <c r="F14" s="259"/>
      <c r="G14" s="259"/>
      <c r="H14" s="259"/>
      <c r="I14" s="259"/>
      <c r="J14" s="259">
        <v>800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>
        <f t="shared" si="1"/>
        <v>800</v>
      </c>
    </row>
    <row r="15" spans="1:41" s="260" customFormat="1" ht="10" x14ac:dyDescent="0.2">
      <c r="A15" s="255">
        <v>3</v>
      </c>
      <c r="B15" s="255" t="s">
        <v>371</v>
      </c>
      <c r="C15" s="261" t="s">
        <v>372</v>
      </c>
      <c r="D15" s="255">
        <v>30</v>
      </c>
      <c r="E15" s="255" t="s">
        <v>131</v>
      </c>
      <c r="F15" s="259"/>
      <c r="G15" s="259"/>
      <c r="H15" s="259"/>
      <c r="I15" s="259"/>
      <c r="J15" s="259"/>
      <c r="K15" s="259"/>
      <c r="L15" s="259"/>
      <c r="M15" s="259">
        <v>1000</v>
      </c>
      <c r="N15" s="259"/>
      <c r="O15" s="259"/>
      <c r="P15" s="259"/>
      <c r="Q15" s="259"/>
      <c r="R15" s="259"/>
      <c r="S15" s="259"/>
      <c r="T15" s="259"/>
      <c r="U15" s="259"/>
      <c r="V15" s="259"/>
      <c r="W15" s="259">
        <f t="shared" si="1"/>
        <v>1000</v>
      </c>
    </row>
    <row r="16" spans="1:41" s="260" customFormat="1" ht="10" x14ac:dyDescent="0.2">
      <c r="A16" s="255">
        <v>4</v>
      </c>
      <c r="B16" s="255" t="s">
        <v>373</v>
      </c>
      <c r="C16" s="261" t="s">
        <v>374</v>
      </c>
      <c r="D16" s="255">
        <v>48</v>
      </c>
      <c r="E16" s="255" t="s">
        <v>375</v>
      </c>
      <c r="F16" s="259"/>
      <c r="G16" s="259"/>
      <c r="H16" s="259"/>
      <c r="I16" s="259"/>
      <c r="J16" s="259">
        <v>878</v>
      </c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>
        <f t="shared" si="1"/>
        <v>878</v>
      </c>
    </row>
    <row r="17" spans="1:25" s="260" customFormat="1" ht="10" x14ac:dyDescent="0.2">
      <c r="A17" s="255">
        <v>5</v>
      </c>
      <c r="B17" s="255" t="s">
        <v>376</v>
      </c>
      <c r="C17" s="261" t="s">
        <v>271</v>
      </c>
      <c r="D17" s="255">
        <v>12</v>
      </c>
      <c r="E17" s="255" t="s">
        <v>272</v>
      </c>
      <c r="F17" s="259"/>
      <c r="G17" s="259"/>
      <c r="H17" s="259"/>
      <c r="I17" s="259"/>
      <c r="J17" s="259">
        <v>4240</v>
      </c>
      <c r="K17" s="259"/>
      <c r="L17" s="259"/>
      <c r="M17" s="259"/>
      <c r="N17" s="259"/>
      <c r="O17" s="259"/>
      <c r="P17" s="259"/>
      <c r="Q17" s="259">
        <v>3426</v>
      </c>
      <c r="R17" s="259"/>
      <c r="S17" s="259"/>
      <c r="T17" s="259"/>
      <c r="U17" s="259"/>
      <c r="V17" s="259"/>
      <c r="W17" s="259">
        <f t="shared" si="1"/>
        <v>7666</v>
      </c>
    </row>
    <row r="18" spans="1:25" s="260" customFormat="1" ht="10" x14ac:dyDescent="0.2">
      <c r="A18" s="255">
        <v>6</v>
      </c>
      <c r="B18" s="255" t="s">
        <v>377</v>
      </c>
      <c r="C18" s="261" t="s">
        <v>138</v>
      </c>
      <c r="D18" s="255">
        <v>200</v>
      </c>
      <c r="E18" s="255" t="s">
        <v>378</v>
      </c>
      <c r="F18" s="259"/>
      <c r="G18" s="259"/>
      <c r="H18" s="259"/>
      <c r="I18" s="259"/>
      <c r="J18" s="259"/>
      <c r="K18" s="259"/>
      <c r="L18" s="259"/>
      <c r="M18" s="259">
        <f>660</f>
        <v>660</v>
      </c>
      <c r="N18" s="259"/>
      <c r="O18" s="259"/>
      <c r="P18" s="259">
        <v>350</v>
      </c>
      <c r="Q18" s="259">
        <v>990</v>
      </c>
      <c r="R18" s="259"/>
      <c r="S18" s="259"/>
      <c r="T18" s="259"/>
      <c r="U18" s="259"/>
      <c r="V18" s="259"/>
      <c r="W18" s="259">
        <f t="shared" si="1"/>
        <v>2000</v>
      </c>
    </row>
    <row r="19" spans="1:25" s="260" customFormat="1" ht="10" x14ac:dyDescent="0.2">
      <c r="A19" s="255">
        <v>7</v>
      </c>
      <c r="B19" s="255" t="s">
        <v>379</v>
      </c>
      <c r="C19" s="261" t="s">
        <v>380</v>
      </c>
      <c r="D19" s="255">
        <v>100</v>
      </c>
      <c r="E19" s="255" t="s">
        <v>381</v>
      </c>
      <c r="F19" s="259"/>
      <c r="G19" s="259"/>
      <c r="H19" s="259"/>
      <c r="I19" s="259"/>
      <c r="J19" s="259"/>
      <c r="K19" s="259"/>
      <c r="L19" s="259"/>
      <c r="M19" s="259">
        <v>605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>
        <f t="shared" si="1"/>
        <v>605</v>
      </c>
      <c r="Y19" s="288"/>
    </row>
    <row r="20" spans="1:25" s="260" customFormat="1" ht="10" x14ac:dyDescent="0.2">
      <c r="A20" s="255">
        <v>8</v>
      </c>
      <c r="B20" s="255" t="s">
        <v>382</v>
      </c>
      <c r="C20" s="261" t="s">
        <v>139</v>
      </c>
      <c r="D20" s="255">
        <v>500</v>
      </c>
      <c r="E20" s="255" t="s">
        <v>383</v>
      </c>
      <c r="F20" s="259"/>
      <c r="G20" s="259"/>
      <c r="H20" s="259"/>
      <c r="I20" s="259"/>
      <c r="J20" s="259"/>
      <c r="K20" s="259"/>
      <c r="L20" s="259"/>
      <c r="M20" s="259">
        <v>1900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>
        <f t="shared" si="1"/>
        <v>1900</v>
      </c>
    </row>
    <row r="21" spans="1:25" s="260" customFormat="1" ht="10" x14ac:dyDescent="0.2">
      <c r="A21" s="255">
        <v>9</v>
      </c>
      <c r="B21" s="255" t="s">
        <v>384</v>
      </c>
      <c r="C21" s="261" t="s">
        <v>385</v>
      </c>
      <c r="D21" s="255">
        <v>1000</v>
      </c>
      <c r="E21" s="255" t="s">
        <v>386</v>
      </c>
      <c r="F21" s="259"/>
      <c r="G21" s="259"/>
      <c r="H21" s="259"/>
      <c r="I21" s="259"/>
      <c r="J21" s="259"/>
      <c r="K21" s="259"/>
      <c r="L21" s="259"/>
      <c r="M21" s="259">
        <f>1000+456+1401</f>
        <v>2857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>
        <f t="shared" si="1"/>
        <v>2857</v>
      </c>
    </row>
    <row r="22" spans="1:25" s="260" customFormat="1" ht="10" x14ac:dyDescent="0.2">
      <c r="A22" s="255" t="s">
        <v>407</v>
      </c>
      <c r="B22" s="255" t="s">
        <v>408</v>
      </c>
      <c r="C22" s="261" t="s">
        <v>409</v>
      </c>
      <c r="D22" s="255">
        <v>2</v>
      </c>
      <c r="E22" s="255" t="s">
        <v>410</v>
      </c>
      <c r="F22" s="259"/>
      <c r="G22" s="259"/>
      <c r="H22" s="259"/>
      <c r="I22" s="259"/>
      <c r="J22" s="259">
        <v>2225.13</v>
      </c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>
        <f t="shared" si="1"/>
        <v>2225.13</v>
      </c>
    </row>
    <row r="23" spans="1:25" s="254" customFormat="1" ht="11" customHeight="1" x14ac:dyDescent="0.25">
      <c r="A23" s="484" t="s">
        <v>387</v>
      </c>
      <c r="B23" s="485"/>
      <c r="C23" s="485"/>
      <c r="D23" s="485"/>
      <c r="E23" s="486"/>
      <c r="F23" s="252">
        <f t="shared" ref="F23:V23" si="2">SUM(F24:F32)</f>
        <v>0</v>
      </c>
      <c r="G23" s="252">
        <f t="shared" si="2"/>
        <v>0</v>
      </c>
      <c r="H23" s="252">
        <f t="shared" si="2"/>
        <v>0</v>
      </c>
      <c r="I23" s="252">
        <f t="shared" si="2"/>
        <v>728</v>
      </c>
      <c r="J23" s="252">
        <f t="shared" si="2"/>
        <v>6564</v>
      </c>
      <c r="K23" s="252">
        <f t="shared" si="2"/>
        <v>0</v>
      </c>
      <c r="L23" s="252">
        <f t="shared" si="2"/>
        <v>0</v>
      </c>
      <c r="M23" s="252">
        <f t="shared" si="2"/>
        <v>21328.87</v>
      </c>
      <c r="N23" s="252">
        <f t="shared" si="2"/>
        <v>0</v>
      </c>
      <c r="O23" s="252">
        <f t="shared" si="2"/>
        <v>0</v>
      </c>
      <c r="P23" s="252">
        <f t="shared" si="2"/>
        <v>720</v>
      </c>
      <c r="Q23" s="252">
        <f t="shared" si="2"/>
        <v>2590</v>
      </c>
      <c r="R23" s="252">
        <f t="shared" si="2"/>
        <v>0</v>
      </c>
      <c r="S23" s="252">
        <f t="shared" si="2"/>
        <v>0</v>
      </c>
      <c r="T23" s="252">
        <f t="shared" si="2"/>
        <v>0</v>
      </c>
      <c r="U23" s="252">
        <f t="shared" si="2"/>
        <v>0</v>
      </c>
      <c r="V23" s="252">
        <f t="shared" si="2"/>
        <v>0</v>
      </c>
      <c r="W23" s="253">
        <f>SUM(F23:V23)</f>
        <v>31930.87</v>
      </c>
    </row>
    <row r="24" spans="1:25" s="260" customFormat="1" ht="10" x14ac:dyDescent="0.2">
      <c r="A24" s="255">
        <v>1</v>
      </c>
      <c r="B24" s="255" t="s">
        <v>388</v>
      </c>
      <c r="C24" s="262" t="s">
        <v>389</v>
      </c>
      <c r="D24" s="255">
        <v>500</v>
      </c>
      <c r="E24" s="255" t="s">
        <v>390</v>
      </c>
      <c r="F24" s="259"/>
      <c r="G24" s="259"/>
      <c r="H24" s="259"/>
      <c r="I24" s="259"/>
      <c r="J24" s="259">
        <v>150</v>
      </c>
      <c r="K24" s="259"/>
      <c r="L24" s="259"/>
      <c r="M24" s="259">
        <f>15500+686.88+363+749.99+352</f>
        <v>17651.87</v>
      </c>
      <c r="N24" s="259"/>
      <c r="O24" s="259"/>
      <c r="P24" s="259">
        <f>300+420</f>
        <v>720</v>
      </c>
      <c r="Q24" s="259"/>
      <c r="R24" s="259"/>
      <c r="S24" s="259"/>
      <c r="T24" s="259"/>
      <c r="U24" s="259"/>
      <c r="V24" s="259"/>
      <c r="W24" s="259">
        <f>SUM(F24:V24)</f>
        <v>18521.87</v>
      </c>
    </row>
    <row r="25" spans="1:25" s="260" customFormat="1" ht="10" x14ac:dyDescent="0.2">
      <c r="A25" s="255">
        <v>2</v>
      </c>
      <c r="B25" s="263" t="s">
        <v>391</v>
      </c>
      <c r="C25" s="264" t="s">
        <v>392</v>
      </c>
      <c r="D25" s="265">
        <v>100</v>
      </c>
      <c r="E25" s="263" t="s">
        <v>393</v>
      </c>
      <c r="F25" s="259"/>
      <c r="G25" s="259"/>
      <c r="H25" s="259"/>
      <c r="I25" s="259"/>
      <c r="J25" s="259"/>
      <c r="K25" s="259"/>
      <c r="L25" s="259"/>
      <c r="M25" s="259">
        <v>2860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>
        <f t="shared" ref="W25:W34" si="3">SUM(F25:V25)</f>
        <v>2860</v>
      </c>
    </row>
    <row r="26" spans="1:25" s="260" customFormat="1" ht="10" x14ac:dyDescent="0.2">
      <c r="A26" s="255">
        <v>3</v>
      </c>
      <c r="B26" s="255" t="s">
        <v>132</v>
      </c>
      <c r="C26" s="262" t="s">
        <v>269</v>
      </c>
      <c r="D26" s="266">
        <v>350</v>
      </c>
      <c r="E26" s="255" t="s">
        <v>131</v>
      </c>
      <c r="F26" s="259"/>
      <c r="G26" s="259"/>
      <c r="H26" s="259"/>
      <c r="I26" s="259"/>
      <c r="J26" s="259"/>
      <c r="K26" s="259"/>
      <c r="L26" s="259"/>
      <c r="M26" s="259">
        <v>94</v>
      </c>
      <c r="N26" s="259"/>
      <c r="O26" s="259"/>
      <c r="P26" s="259"/>
      <c r="Q26" s="259">
        <v>2590</v>
      </c>
      <c r="R26" s="259"/>
      <c r="S26" s="259"/>
      <c r="T26" s="259"/>
      <c r="U26" s="259"/>
      <c r="V26" s="259"/>
      <c r="W26" s="259">
        <f t="shared" si="3"/>
        <v>2684</v>
      </c>
    </row>
    <row r="27" spans="1:25" s="260" customFormat="1" ht="20" x14ac:dyDescent="0.2">
      <c r="A27" s="255">
        <v>4</v>
      </c>
      <c r="B27" s="255" t="s">
        <v>394</v>
      </c>
      <c r="C27" s="267" t="s">
        <v>395</v>
      </c>
      <c r="D27" s="266">
        <v>400</v>
      </c>
      <c r="E27" s="268" t="s">
        <v>396</v>
      </c>
      <c r="F27" s="259"/>
      <c r="G27" s="259"/>
      <c r="H27" s="259"/>
      <c r="I27" s="259">
        <v>728</v>
      </c>
      <c r="J27" s="259"/>
      <c r="K27" s="259"/>
      <c r="L27" s="259"/>
      <c r="M27" s="259">
        <v>723</v>
      </c>
      <c r="N27" s="259"/>
      <c r="O27" s="259"/>
      <c r="P27" s="259"/>
      <c r="Q27" s="259"/>
      <c r="R27" s="259"/>
      <c r="S27" s="259"/>
      <c r="T27" s="259"/>
      <c r="U27" s="259"/>
      <c r="V27" s="259"/>
      <c r="W27" s="259">
        <f t="shared" si="3"/>
        <v>1451</v>
      </c>
    </row>
    <row r="28" spans="1:25" s="260" customFormat="1" ht="10" x14ac:dyDescent="0.2">
      <c r="A28" s="255">
        <v>5</v>
      </c>
      <c r="B28" s="255" t="s">
        <v>376</v>
      </c>
      <c r="C28" s="261" t="s">
        <v>271</v>
      </c>
      <c r="D28" s="255">
        <v>7</v>
      </c>
      <c r="E28" s="255" t="s">
        <v>272</v>
      </c>
      <c r="F28" s="259"/>
      <c r="G28" s="259"/>
      <c r="H28" s="259"/>
      <c r="I28" s="259"/>
      <c r="J28" s="259">
        <v>6414</v>
      </c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>
        <f>SUM(F28:V28)</f>
        <v>6414</v>
      </c>
    </row>
    <row r="29" spans="1:25" s="260" customFormat="1" ht="13" x14ac:dyDescent="0.3">
      <c r="A29" s="263">
        <v>7</v>
      </c>
      <c r="B29" s="269"/>
      <c r="C29" s="271"/>
      <c r="D29" s="265"/>
      <c r="E29" s="263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>
        <f t="shared" si="3"/>
        <v>0</v>
      </c>
    </row>
    <row r="30" spans="1:25" s="260" customFormat="1" ht="13" x14ac:dyDescent="0.3">
      <c r="A30" s="263">
        <v>8</v>
      </c>
      <c r="B30" s="263"/>
      <c r="C30" s="270"/>
      <c r="D30" s="265"/>
      <c r="E30" s="263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>
        <f t="shared" si="3"/>
        <v>0</v>
      </c>
    </row>
    <row r="31" spans="1:25" s="260" customFormat="1" ht="10" x14ac:dyDescent="0.2">
      <c r="A31" s="263">
        <v>9</v>
      </c>
      <c r="B31" s="269"/>
      <c r="C31" s="264"/>
      <c r="D31" s="265"/>
      <c r="E31" s="263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>
        <f t="shared" si="3"/>
        <v>0</v>
      </c>
    </row>
    <row r="32" spans="1:25" s="260" customFormat="1" ht="13" x14ac:dyDescent="0.3">
      <c r="A32" s="263">
        <v>10</v>
      </c>
      <c r="B32" s="269"/>
      <c r="C32" s="271"/>
      <c r="D32" s="265"/>
      <c r="E32" s="263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>
        <f t="shared" si="3"/>
        <v>0</v>
      </c>
    </row>
    <row r="33" spans="1:24" s="254" customFormat="1" ht="11" customHeight="1" x14ac:dyDescent="0.25">
      <c r="A33" s="487" t="s">
        <v>397</v>
      </c>
      <c r="B33" s="488"/>
      <c r="C33" s="488"/>
      <c r="D33" s="488"/>
      <c r="E33" s="489"/>
      <c r="F33" s="252">
        <f t="shared" ref="F33:V33" si="4">SUM(F34:F34)</f>
        <v>8800</v>
      </c>
      <c r="G33" s="252">
        <f t="shared" si="4"/>
        <v>0</v>
      </c>
      <c r="H33" s="252">
        <f t="shared" si="4"/>
        <v>5560</v>
      </c>
      <c r="I33" s="252">
        <f t="shared" si="4"/>
        <v>0</v>
      </c>
      <c r="J33" s="252">
        <f t="shared" si="4"/>
        <v>0</v>
      </c>
      <c r="K33" s="252">
        <f t="shared" si="4"/>
        <v>0</v>
      </c>
      <c r="L33" s="252">
        <f t="shared" si="4"/>
        <v>0</v>
      </c>
      <c r="M33" s="252">
        <f t="shared" si="4"/>
        <v>0</v>
      </c>
      <c r="N33" s="252">
        <f t="shared" si="4"/>
        <v>0</v>
      </c>
      <c r="O33" s="252">
        <f t="shared" si="4"/>
        <v>0</v>
      </c>
      <c r="P33" s="252">
        <f t="shared" si="4"/>
        <v>0</v>
      </c>
      <c r="Q33" s="252">
        <f t="shared" si="4"/>
        <v>0</v>
      </c>
      <c r="R33" s="252">
        <f t="shared" si="4"/>
        <v>0</v>
      </c>
      <c r="S33" s="252">
        <f t="shared" si="4"/>
        <v>0</v>
      </c>
      <c r="T33" s="252">
        <f t="shared" si="4"/>
        <v>0</v>
      </c>
      <c r="U33" s="252">
        <f t="shared" si="4"/>
        <v>0</v>
      </c>
      <c r="V33" s="252">
        <f t="shared" si="4"/>
        <v>0</v>
      </c>
      <c r="W33" s="253">
        <f>SUM(F33:V33)</f>
        <v>14360</v>
      </c>
    </row>
    <row r="34" spans="1:24" s="260" customFormat="1" ht="10" x14ac:dyDescent="0.2">
      <c r="A34" s="263">
        <v>1</v>
      </c>
      <c r="B34" s="272" t="s">
        <v>398</v>
      </c>
      <c r="C34" s="273" t="s">
        <v>399</v>
      </c>
      <c r="D34" s="274">
        <v>1</v>
      </c>
      <c r="E34" s="263"/>
      <c r="F34" s="259">
        <v>8800</v>
      </c>
      <c r="G34" s="259"/>
      <c r="H34" s="259">
        <v>5560</v>
      </c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>
        <f t="shared" si="3"/>
        <v>14360</v>
      </c>
      <c r="X34" s="260">
        <v>71860</v>
      </c>
    </row>
    <row r="35" spans="1:24" s="260" customFormat="1" ht="10.5" x14ac:dyDescent="0.25">
      <c r="A35" s="490" t="s">
        <v>400</v>
      </c>
      <c r="B35" s="491"/>
      <c r="C35" s="492"/>
      <c r="D35" s="259">
        <f>SUM(D23:D32)</f>
        <v>1357</v>
      </c>
      <c r="E35" s="275"/>
      <c r="F35" s="253">
        <f t="shared" ref="F35:W35" si="5">SUM(F33,F23,F12)</f>
        <v>8800</v>
      </c>
      <c r="G35" s="253">
        <f t="shared" si="5"/>
        <v>0</v>
      </c>
      <c r="H35" s="253">
        <f t="shared" si="5"/>
        <v>5560</v>
      </c>
      <c r="I35" s="253">
        <f t="shared" si="5"/>
        <v>728</v>
      </c>
      <c r="J35" s="253">
        <f t="shared" si="5"/>
        <v>20345.13</v>
      </c>
      <c r="K35" s="253">
        <f t="shared" si="5"/>
        <v>0</v>
      </c>
      <c r="L35" s="253">
        <f t="shared" si="5"/>
        <v>0</v>
      </c>
      <c r="M35" s="253">
        <f t="shared" si="5"/>
        <v>28350.87</v>
      </c>
      <c r="N35" s="253">
        <f t="shared" si="5"/>
        <v>0</v>
      </c>
      <c r="O35" s="253">
        <f t="shared" si="5"/>
        <v>0</v>
      </c>
      <c r="P35" s="253">
        <f t="shared" si="5"/>
        <v>1070</v>
      </c>
      <c r="Q35" s="253">
        <f t="shared" si="5"/>
        <v>7006</v>
      </c>
      <c r="R35" s="253">
        <f t="shared" si="5"/>
        <v>0</v>
      </c>
      <c r="S35" s="253">
        <f t="shared" si="5"/>
        <v>0</v>
      </c>
      <c r="T35" s="253">
        <f t="shared" si="5"/>
        <v>0</v>
      </c>
      <c r="U35" s="253">
        <f t="shared" si="5"/>
        <v>0</v>
      </c>
      <c r="V35" s="253">
        <f t="shared" si="5"/>
        <v>0</v>
      </c>
      <c r="W35" s="253">
        <f t="shared" si="5"/>
        <v>71860</v>
      </c>
      <c r="X35" s="276">
        <f>X34-W35</f>
        <v>0</v>
      </c>
    </row>
    <row r="36" spans="1:24" ht="13" x14ac:dyDescent="0.3">
      <c r="E36" s="92"/>
      <c r="F36" s="92"/>
      <c r="K36" s="277"/>
      <c r="M36" s="277"/>
      <c r="N36" s="277"/>
      <c r="O36" s="277"/>
    </row>
    <row r="37" spans="1:24" ht="13" x14ac:dyDescent="0.3">
      <c r="B37" s="278" t="s">
        <v>401</v>
      </c>
      <c r="C37" s="279" t="s">
        <v>402</v>
      </c>
      <c r="E37" s="92"/>
      <c r="F37" s="92"/>
      <c r="K37" s="277"/>
      <c r="M37" s="277"/>
      <c r="N37" s="277"/>
      <c r="O37" s="277"/>
    </row>
    <row r="38" spans="1:24" ht="13" x14ac:dyDescent="0.3">
      <c r="B38" s="280"/>
      <c r="E38" s="92"/>
      <c r="F38" s="92"/>
      <c r="K38" s="277"/>
      <c r="M38" s="277"/>
      <c r="N38" s="277"/>
      <c r="O38" s="277"/>
      <c r="W38" s="281"/>
    </row>
    <row r="39" spans="1:24" ht="13" x14ac:dyDescent="0.3">
      <c r="E39" s="92"/>
      <c r="F39" s="92"/>
      <c r="K39" s="277"/>
      <c r="M39" s="277"/>
      <c r="N39" s="277"/>
      <c r="O39" s="277"/>
    </row>
    <row r="40" spans="1:24" ht="13" x14ac:dyDescent="0.3">
      <c r="B40" s="171"/>
      <c r="C40" s="171"/>
      <c r="D40" s="171"/>
      <c r="E40" s="282"/>
      <c r="F40" s="283"/>
      <c r="G40" s="282"/>
      <c r="H40" s="282"/>
      <c r="I40" s="171"/>
      <c r="J40" s="171"/>
      <c r="K40" s="281"/>
      <c r="L40" s="171"/>
      <c r="M40" s="281"/>
      <c r="N40" s="281"/>
      <c r="O40" s="281"/>
      <c r="P40" s="171"/>
      <c r="V40" s="284"/>
      <c r="W40" s="285"/>
    </row>
  </sheetData>
  <mergeCells count="10">
    <mergeCell ref="A12:E12"/>
    <mergeCell ref="A23:E23"/>
    <mergeCell ref="A33:E33"/>
    <mergeCell ref="A35:C35"/>
    <mergeCell ref="Q1:W2"/>
    <mergeCell ref="A4:I4"/>
    <mergeCell ref="A5:I5"/>
    <mergeCell ref="Q7:V7"/>
    <mergeCell ref="R8:V8"/>
    <mergeCell ref="W10:W11"/>
  </mergeCells>
  <hyperlinks>
    <hyperlink ref="R8" r:id="rId1" xr:uid="{D6067278-C75A-6E49-A4A7-342F0D4CEB9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6320-15CC-4DA4-A91A-23DFE85E7560}">
  <sheetPr>
    <pageSetUpPr fitToPage="1"/>
  </sheetPr>
  <dimension ref="A1:AF32"/>
  <sheetViews>
    <sheetView topLeftCell="A4" zoomScale="60" zoomScaleNormal="60" zoomScaleSheetLayoutView="70" workbookViewId="0">
      <selection activeCell="G37" sqref="G37"/>
    </sheetView>
  </sheetViews>
  <sheetFormatPr defaultColWidth="8.4140625" defaultRowHeight="13" x14ac:dyDescent="0.3"/>
  <cols>
    <col min="1" max="1" width="5" style="516" customWidth="1"/>
    <col min="2" max="2" width="15.08203125" style="515" customWidth="1"/>
    <col min="3" max="3" width="28.1640625" style="515" customWidth="1"/>
    <col min="4" max="4" width="7.75" style="515" customWidth="1"/>
    <col min="5" max="5" width="16.6640625" style="515" customWidth="1"/>
    <col min="6" max="8" width="5.6640625" style="515" customWidth="1"/>
    <col min="9" max="10" width="6.58203125" style="515" customWidth="1"/>
    <col min="11" max="11" width="6.75" style="515" customWidth="1"/>
    <col min="12" max="14" width="6.4140625" style="515" customWidth="1"/>
    <col min="15" max="17" width="7.75" style="515" customWidth="1"/>
    <col min="18" max="18" width="6.83203125" style="515" customWidth="1"/>
    <col min="19" max="20" width="7.1640625" style="515" customWidth="1"/>
    <col min="21" max="23" width="7.33203125" style="515" customWidth="1"/>
    <col min="24" max="24" width="6.83203125" style="515" customWidth="1"/>
    <col min="25" max="28" width="7" style="515" customWidth="1"/>
    <col min="29" max="29" width="9.33203125" style="515" customWidth="1"/>
    <col min="30" max="16384" width="8.4140625" style="515"/>
  </cols>
  <sheetData>
    <row r="1" spans="1:32" ht="41.25" customHeight="1" x14ac:dyDescent="0.35">
      <c r="B1" s="582"/>
      <c r="C1" s="582"/>
      <c r="D1" s="582"/>
      <c r="E1" s="582"/>
      <c r="F1" s="583" t="s">
        <v>232</v>
      </c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2"/>
      <c r="V1" s="582"/>
      <c r="W1" s="582"/>
      <c r="X1" s="581" t="s">
        <v>233</v>
      </c>
      <c r="Y1" s="581"/>
      <c r="Z1" s="581"/>
      <c r="AA1" s="581"/>
      <c r="AB1" s="581"/>
      <c r="AC1" s="581"/>
      <c r="AD1" s="580"/>
    </row>
    <row r="2" spans="1:32" s="522" customFormat="1" ht="15.5" x14ac:dyDescent="0.35">
      <c r="A2" s="524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AD2" s="522" t="s">
        <v>633</v>
      </c>
      <c r="AE2" s="579">
        <v>72262.600000000006</v>
      </c>
      <c r="AF2" s="579">
        <f>AE2-AC22</f>
        <v>-0.39999999999417923</v>
      </c>
    </row>
    <row r="3" spans="1:32" s="522" customFormat="1" ht="15.5" x14ac:dyDescent="0.35">
      <c r="A3" s="578" t="s">
        <v>234</v>
      </c>
      <c r="B3" s="527"/>
      <c r="C3" s="527"/>
      <c r="D3" s="527"/>
      <c r="E3" s="527"/>
      <c r="F3" s="527"/>
      <c r="G3" s="527"/>
      <c r="H3" s="527"/>
      <c r="I3" s="527"/>
      <c r="J3" s="527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</row>
    <row r="4" spans="1:32" s="522" customFormat="1" ht="15.5" x14ac:dyDescent="0.35">
      <c r="A4" s="577" t="s">
        <v>235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6"/>
      <c r="P4" s="526"/>
      <c r="Q4" s="526"/>
      <c r="R4" s="526"/>
      <c r="S4" s="526"/>
      <c r="T4" s="526"/>
      <c r="U4" s="526"/>
      <c r="V4" s="526"/>
      <c r="W4" s="526"/>
    </row>
    <row r="5" spans="1:32" s="522" customFormat="1" ht="15.5" x14ac:dyDescent="0.35">
      <c r="A5" s="576" t="s">
        <v>236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6"/>
      <c r="P5" s="526"/>
      <c r="Q5" s="526"/>
      <c r="R5" s="526"/>
      <c r="S5" s="526"/>
      <c r="T5" s="526"/>
      <c r="U5" s="526"/>
      <c r="V5" s="526"/>
      <c r="W5" s="526"/>
    </row>
    <row r="6" spans="1:32" s="522" customFormat="1" ht="15.5" x14ac:dyDescent="0.35">
      <c r="A6" s="575" t="s">
        <v>237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4"/>
      <c r="P6" s="574"/>
      <c r="Q6" s="574"/>
      <c r="R6" s="574"/>
      <c r="S6" s="527"/>
      <c r="T6" s="526"/>
      <c r="U6" s="526"/>
      <c r="V6" s="526"/>
      <c r="W6" s="526"/>
    </row>
    <row r="7" spans="1:32" s="522" customFormat="1" ht="16" thickBot="1" x14ac:dyDescent="0.4">
      <c r="A7" s="524"/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2"/>
      <c r="Z7" s="572"/>
      <c r="AA7" s="572"/>
      <c r="AB7" s="572"/>
      <c r="AC7" s="572"/>
    </row>
    <row r="8" spans="1:32" s="522" customFormat="1" ht="15.5" x14ac:dyDescent="0.35">
      <c r="A8" s="571"/>
      <c r="B8" s="570"/>
      <c r="C8" s="569"/>
      <c r="D8" s="569"/>
      <c r="E8" s="568"/>
      <c r="F8" s="566">
        <v>1110</v>
      </c>
      <c r="G8" s="566">
        <v>1140</v>
      </c>
      <c r="H8" s="566">
        <v>1150</v>
      </c>
      <c r="I8" s="566">
        <v>1210</v>
      </c>
      <c r="J8" s="566">
        <v>1220</v>
      </c>
      <c r="K8" s="566">
        <v>2110</v>
      </c>
      <c r="L8" s="567">
        <v>2120</v>
      </c>
      <c r="M8" s="567">
        <v>2210</v>
      </c>
      <c r="N8" s="567">
        <v>2220</v>
      </c>
      <c r="O8" s="567">
        <v>2230</v>
      </c>
      <c r="P8" s="567">
        <v>2240</v>
      </c>
      <c r="Q8" s="567">
        <v>2250</v>
      </c>
      <c r="R8" s="567">
        <v>2260</v>
      </c>
      <c r="S8" s="566">
        <v>2310</v>
      </c>
      <c r="T8" s="566">
        <v>2320</v>
      </c>
      <c r="U8" s="566">
        <v>2340</v>
      </c>
      <c r="V8" s="566">
        <v>2350</v>
      </c>
      <c r="W8" s="566">
        <v>2360</v>
      </c>
      <c r="X8" s="566">
        <v>2390</v>
      </c>
      <c r="Y8" s="565">
        <v>5110</v>
      </c>
      <c r="Z8" s="565">
        <v>5120</v>
      </c>
      <c r="AA8" s="565">
        <v>5220</v>
      </c>
      <c r="AB8" s="565">
        <v>5230</v>
      </c>
      <c r="AC8" s="564"/>
    </row>
    <row r="9" spans="1:32" s="522" customFormat="1" ht="178.5" customHeight="1" x14ac:dyDescent="0.35">
      <c r="A9" s="563" t="s">
        <v>238</v>
      </c>
      <c r="B9" s="562" t="s">
        <v>239</v>
      </c>
      <c r="C9" s="562" t="s">
        <v>240</v>
      </c>
      <c r="D9" s="562" t="s">
        <v>241</v>
      </c>
      <c r="E9" s="561" t="s">
        <v>242</v>
      </c>
      <c r="F9" s="560" t="s">
        <v>243</v>
      </c>
      <c r="G9" s="560" t="s">
        <v>244</v>
      </c>
      <c r="H9" s="560" t="s">
        <v>245</v>
      </c>
      <c r="I9" s="559" t="s">
        <v>246</v>
      </c>
      <c r="J9" s="559" t="s">
        <v>247</v>
      </c>
      <c r="K9" s="558" t="s">
        <v>248</v>
      </c>
      <c r="L9" s="558" t="s">
        <v>249</v>
      </c>
      <c r="M9" s="558" t="s">
        <v>250</v>
      </c>
      <c r="N9" s="558" t="s">
        <v>251</v>
      </c>
      <c r="O9" s="558" t="s">
        <v>252</v>
      </c>
      <c r="P9" s="558" t="s">
        <v>253</v>
      </c>
      <c r="Q9" s="558" t="s">
        <v>254</v>
      </c>
      <c r="R9" s="558" t="s">
        <v>255</v>
      </c>
      <c r="S9" s="558" t="s">
        <v>256</v>
      </c>
      <c r="T9" s="558" t="s">
        <v>257</v>
      </c>
      <c r="U9" s="558" t="s">
        <v>258</v>
      </c>
      <c r="V9" s="558" t="s">
        <v>259</v>
      </c>
      <c r="W9" s="558" t="s">
        <v>260</v>
      </c>
      <c r="X9" s="558" t="s">
        <v>261</v>
      </c>
      <c r="Y9" s="558" t="s">
        <v>262</v>
      </c>
      <c r="Z9" s="558" t="s">
        <v>263</v>
      </c>
      <c r="AA9" s="558" t="s">
        <v>264</v>
      </c>
      <c r="AB9" s="558" t="s">
        <v>265</v>
      </c>
      <c r="AC9" s="557" t="s">
        <v>267</v>
      </c>
    </row>
    <row r="10" spans="1:32" s="522" customFormat="1" ht="15.5" x14ac:dyDescent="0.35">
      <c r="A10" s="547" t="s">
        <v>620</v>
      </c>
      <c r="B10" s="550" t="s">
        <v>628</v>
      </c>
      <c r="C10" s="548" t="s">
        <v>632</v>
      </c>
      <c r="D10" s="553">
        <v>1</v>
      </c>
      <c r="E10" s="553"/>
      <c r="F10" s="552">
        <v>16703</v>
      </c>
      <c r="G10" s="552"/>
      <c r="H10" s="552"/>
      <c r="I10" s="543">
        <v>12000</v>
      </c>
      <c r="J10" s="543"/>
      <c r="K10" s="543"/>
      <c r="L10" s="556"/>
      <c r="M10" s="556"/>
      <c r="N10" s="556"/>
      <c r="O10" s="556"/>
      <c r="P10" s="556"/>
      <c r="Q10" s="556"/>
      <c r="R10" s="556"/>
      <c r="S10" s="555"/>
      <c r="T10" s="555"/>
      <c r="U10" s="555"/>
      <c r="V10" s="555"/>
      <c r="W10" s="555"/>
      <c r="X10" s="555"/>
      <c r="Y10" s="555"/>
      <c r="Z10" s="554"/>
      <c r="AA10" s="554"/>
      <c r="AB10" s="554"/>
      <c r="AC10" s="541">
        <f>SUM(F10:AB10)</f>
        <v>28703</v>
      </c>
    </row>
    <row r="11" spans="1:32" s="522" customFormat="1" ht="15.5" x14ac:dyDescent="0.35">
      <c r="A11" s="547" t="s">
        <v>621</v>
      </c>
      <c r="B11" s="550" t="s">
        <v>628</v>
      </c>
      <c r="C11" s="548" t="s">
        <v>631</v>
      </c>
      <c r="D11" s="553">
        <v>1</v>
      </c>
      <c r="E11" s="553"/>
      <c r="F11" s="552">
        <v>16700</v>
      </c>
      <c r="G11" s="552"/>
      <c r="H11" s="552"/>
      <c r="I11" s="543">
        <v>12000</v>
      </c>
      <c r="J11" s="543"/>
      <c r="K11" s="543"/>
      <c r="L11" s="543"/>
      <c r="M11" s="543"/>
      <c r="N11" s="543"/>
      <c r="O11" s="543"/>
      <c r="P11" s="543"/>
      <c r="Q11" s="543"/>
      <c r="R11" s="543"/>
      <c r="S11" s="544"/>
      <c r="T11" s="544"/>
      <c r="U11" s="544"/>
      <c r="V11" s="544"/>
      <c r="W11" s="544"/>
      <c r="X11" s="544"/>
      <c r="Y11" s="544"/>
      <c r="Z11" s="551"/>
      <c r="AA11" s="551"/>
      <c r="AB11" s="551"/>
      <c r="AC11" s="541">
        <f>SUM(F11:AB11)</f>
        <v>28700</v>
      </c>
    </row>
    <row r="12" spans="1:32" s="522" customFormat="1" ht="15.5" x14ac:dyDescent="0.35">
      <c r="A12" s="547" t="s">
        <v>623</v>
      </c>
      <c r="B12" s="550" t="s">
        <v>628</v>
      </c>
      <c r="C12" s="548" t="s">
        <v>340</v>
      </c>
      <c r="D12" s="553"/>
      <c r="E12" s="553"/>
      <c r="F12" s="552"/>
      <c r="G12" s="552"/>
      <c r="H12" s="552"/>
      <c r="I12" s="543"/>
      <c r="J12" s="543"/>
      <c r="K12" s="543"/>
      <c r="L12" s="543"/>
      <c r="M12" s="543"/>
      <c r="N12" s="543"/>
      <c r="O12" s="543">
        <f>750*10</f>
        <v>7500</v>
      </c>
      <c r="P12" s="543"/>
      <c r="Q12" s="543"/>
      <c r="R12" s="543"/>
      <c r="S12" s="544"/>
      <c r="T12" s="544"/>
      <c r="U12" s="544"/>
      <c r="V12" s="544"/>
      <c r="W12" s="544"/>
      <c r="X12" s="544"/>
      <c r="Y12" s="544"/>
      <c r="Z12" s="551"/>
      <c r="AA12" s="551"/>
      <c r="AB12" s="551"/>
      <c r="AC12" s="541">
        <f>SUM(F12:AB12)</f>
        <v>7500</v>
      </c>
    </row>
    <row r="13" spans="1:32" s="522" customFormat="1" ht="15.5" x14ac:dyDescent="0.35">
      <c r="A13" s="547" t="s">
        <v>630</v>
      </c>
      <c r="B13" s="550" t="s">
        <v>628</v>
      </c>
      <c r="C13" s="549" t="s">
        <v>341</v>
      </c>
      <c r="D13" s="553"/>
      <c r="E13" s="553"/>
      <c r="F13" s="552"/>
      <c r="G13" s="552"/>
      <c r="H13" s="552"/>
      <c r="I13" s="543"/>
      <c r="J13" s="543"/>
      <c r="K13" s="543"/>
      <c r="L13" s="543"/>
      <c r="M13" s="543"/>
      <c r="N13" s="543">
        <f>80*10</f>
        <v>800</v>
      </c>
      <c r="O13" s="543"/>
      <c r="P13" s="543"/>
      <c r="Q13" s="543"/>
      <c r="R13" s="543">
        <f>121*10</f>
        <v>1210</v>
      </c>
      <c r="S13" s="544"/>
      <c r="T13" s="544"/>
      <c r="U13" s="544"/>
      <c r="V13" s="544"/>
      <c r="W13" s="544"/>
      <c r="X13" s="544"/>
      <c r="Y13" s="544"/>
      <c r="Z13" s="551"/>
      <c r="AA13" s="551"/>
      <c r="AB13" s="551"/>
      <c r="AC13" s="541">
        <f>SUM(F13:AB13)</f>
        <v>2010</v>
      </c>
    </row>
    <row r="14" spans="1:32" s="522" customFormat="1" ht="15.5" x14ac:dyDescent="0.35">
      <c r="A14" s="547" t="s">
        <v>629</v>
      </c>
      <c r="B14" s="550" t="s">
        <v>628</v>
      </c>
      <c r="C14" s="546" t="s">
        <v>627</v>
      </c>
      <c r="D14" s="545"/>
      <c r="E14" s="545"/>
      <c r="F14" s="543"/>
      <c r="G14" s="543"/>
      <c r="H14" s="543"/>
      <c r="I14" s="543"/>
      <c r="J14" s="543"/>
      <c r="K14" s="543"/>
      <c r="L14" s="543"/>
      <c r="M14" s="543">
        <v>1100</v>
      </c>
      <c r="N14" s="543"/>
      <c r="O14" s="543"/>
      <c r="P14" s="543"/>
      <c r="Q14" s="543">
        <v>1100</v>
      </c>
      <c r="R14" s="543">
        <f>210*10</f>
        <v>2100</v>
      </c>
      <c r="S14" s="543">
        <v>1050</v>
      </c>
      <c r="T14" s="543"/>
      <c r="U14" s="543"/>
      <c r="V14" s="543"/>
      <c r="W14" s="543"/>
      <c r="X14" s="543"/>
      <c r="Y14" s="543"/>
      <c r="Z14" s="542"/>
      <c r="AA14" s="542"/>
      <c r="AB14" s="542"/>
      <c r="AC14" s="541">
        <f>SUM(F14:AB14)</f>
        <v>5350</v>
      </c>
    </row>
    <row r="15" spans="1:32" s="522" customFormat="1" ht="15.5" x14ac:dyDescent="0.35">
      <c r="A15" s="547"/>
      <c r="B15" s="550"/>
      <c r="C15" s="549"/>
      <c r="D15" s="545"/>
      <c r="E15" s="545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2"/>
      <c r="AA15" s="542"/>
      <c r="AB15" s="542"/>
      <c r="AC15" s="541">
        <f>SUM(F15:AB15)</f>
        <v>0</v>
      </c>
    </row>
    <row r="16" spans="1:32" s="522" customFormat="1" ht="15.5" x14ac:dyDescent="0.35">
      <c r="A16" s="547"/>
      <c r="B16" s="545"/>
      <c r="C16" s="549"/>
      <c r="D16" s="545"/>
      <c r="E16" s="545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2"/>
      <c r="AA16" s="542"/>
      <c r="AB16" s="542"/>
      <c r="AC16" s="541">
        <f>SUM(F16:AB16)</f>
        <v>0</v>
      </c>
    </row>
    <row r="17" spans="1:29" s="522" customFormat="1" ht="15.5" x14ac:dyDescent="0.35">
      <c r="A17" s="547"/>
      <c r="B17" s="545"/>
      <c r="C17" s="546"/>
      <c r="D17" s="545"/>
      <c r="E17" s="545"/>
      <c r="F17" s="543"/>
      <c r="G17" s="543"/>
      <c r="H17" s="543"/>
      <c r="I17" s="543"/>
      <c r="J17" s="543"/>
      <c r="K17" s="543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2"/>
      <c r="AA17" s="542"/>
      <c r="AB17" s="542"/>
      <c r="AC17" s="541">
        <f>SUM(F17:AB17)</f>
        <v>0</v>
      </c>
    </row>
    <row r="18" spans="1:29" s="522" customFormat="1" ht="15.5" x14ac:dyDescent="0.35">
      <c r="A18" s="547"/>
      <c r="B18" s="545"/>
      <c r="C18" s="548"/>
      <c r="D18" s="545"/>
      <c r="E18" s="545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543"/>
      <c r="V18" s="543"/>
      <c r="W18" s="543"/>
      <c r="X18" s="543"/>
      <c r="Y18" s="543"/>
      <c r="Z18" s="542"/>
      <c r="AA18" s="542"/>
      <c r="AB18" s="542"/>
      <c r="AC18" s="541">
        <f>SUM(F18:AB18)</f>
        <v>0</v>
      </c>
    </row>
    <row r="19" spans="1:29" s="522" customFormat="1" ht="15.5" x14ac:dyDescent="0.35">
      <c r="A19" s="547"/>
      <c r="B19" s="545"/>
      <c r="C19" s="548"/>
      <c r="D19" s="545"/>
      <c r="E19" s="545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2"/>
      <c r="AA19" s="542"/>
      <c r="AB19" s="542"/>
      <c r="AC19" s="541">
        <f>SUM(F19:AB19)</f>
        <v>0</v>
      </c>
    </row>
    <row r="20" spans="1:29" s="522" customFormat="1" ht="15.5" x14ac:dyDescent="0.35">
      <c r="A20" s="547"/>
      <c r="B20" s="545"/>
      <c r="C20" s="548"/>
      <c r="D20" s="545"/>
      <c r="E20" s="545"/>
      <c r="F20" s="543"/>
      <c r="G20" s="543"/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2"/>
      <c r="AA20" s="542"/>
      <c r="AB20" s="542"/>
      <c r="AC20" s="541">
        <f>SUM(F20:AB20)</f>
        <v>0</v>
      </c>
    </row>
    <row r="21" spans="1:29" s="522" customFormat="1" ht="15.5" x14ac:dyDescent="0.35">
      <c r="A21" s="547"/>
      <c r="B21" s="545"/>
      <c r="C21" s="546"/>
      <c r="D21" s="545"/>
      <c r="E21" s="545"/>
      <c r="F21" s="544"/>
      <c r="G21" s="544"/>
      <c r="H21" s="544"/>
      <c r="I21" s="543"/>
      <c r="J21" s="543"/>
      <c r="K21" s="543"/>
      <c r="L21" s="543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2"/>
      <c r="AA21" s="542"/>
      <c r="AB21" s="542"/>
      <c r="AC21" s="541">
        <f>SUM(F21:AB21)</f>
        <v>0</v>
      </c>
    </row>
    <row r="22" spans="1:29" s="522" customFormat="1" ht="16" thickBot="1" x14ac:dyDescent="0.4">
      <c r="A22" s="540"/>
      <c r="B22" s="538" t="s">
        <v>344</v>
      </c>
      <c r="C22" s="538" t="s">
        <v>344</v>
      </c>
      <c r="D22" s="539"/>
      <c r="E22" s="538" t="s">
        <v>344</v>
      </c>
      <c r="F22" s="537">
        <f>SUM(F10:F21)</f>
        <v>33403</v>
      </c>
      <c r="G22" s="537">
        <f>SUM(G10:G21)</f>
        <v>0</v>
      </c>
      <c r="H22" s="537">
        <f>SUM(H10:H21)</f>
        <v>0</v>
      </c>
      <c r="I22" s="537">
        <f>SUM(I10:I21)</f>
        <v>24000</v>
      </c>
      <c r="J22" s="537">
        <f>SUM(J10:J21)</f>
        <v>0</v>
      </c>
      <c r="K22" s="537">
        <f>SUM(K10:K21)</f>
        <v>0</v>
      </c>
      <c r="L22" s="537">
        <f>SUM(L10:L21)</f>
        <v>0</v>
      </c>
      <c r="M22" s="537">
        <f>SUM(M10:M21)</f>
        <v>1100</v>
      </c>
      <c r="N22" s="537">
        <f>SUM(N10:N21)</f>
        <v>800</v>
      </c>
      <c r="O22" s="537">
        <f>SUM(O10:O21)</f>
        <v>7500</v>
      </c>
      <c r="P22" s="537">
        <f>SUM(P10:P21)</f>
        <v>0</v>
      </c>
      <c r="Q22" s="537">
        <f>SUM(Q10:Q21)</f>
        <v>1100</v>
      </c>
      <c r="R22" s="537">
        <f>SUM(R10:R21)</f>
        <v>3310</v>
      </c>
      <c r="S22" s="537">
        <f>SUM(S10:S21)</f>
        <v>1050</v>
      </c>
      <c r="T22" s="537">
        <f>SUM(T10:T21)</f>
        <v>0</v>
      </c>
      <c r="U22" s="537">
        <f>SUM(U10:U21)</f>
        <v>0</v>
      </c>
      <c r="V22" s="537">
        <f>SUM(V10:V21)</f>
        <v>0</v>
      </c>
      <c r="W22" s="537">
        <f>SUM(W10:W21)</f>
        <v>0</v>
      </c>
      <c r="X22" s="537">
        <f>SUM(X10:X21)</f>
        <v>0</v>
      </c>
      <c r="Y22" s="537">
        <f>SUM(Y10:Y21)</f>
        <v>0</v>
      </c>
      <c r="Z22" s="537">
        <f>SUM(Z10:Z21)</f>
        <v>0</v>
      </c>
      <c r="AA22" s="537">
        <f>SUM(AA10:AA21)</f>
        <v>0</v>
      </c>
      <c r="AB22" s="537">
        <f>SUM(AB10:AB21)</f>
        <v>0</v>
      </c>
      <c r="AC22" s="536">
        <f>SUM(AC10:AC21)</f>
        <v>72263</v>
      </c>
    </row>
    <row r="23" spans="1:29" s="522" customFormat="1" ht="15.5" x14ac:dyDescent="0.35">
      <c r="A23" s="535"/>
      <c r="B23" s="533"/>
      <c r="C23" s="533"/>
      <c r="D23" s="534"/>
      <c r="E23" s="533"/>
      <c r="F23" s="532"/>
      <c r="G23" s="532"/>
      <c r="H23" s="532"/>
      <c r="I23" s="531"/>
      <c r="J23" s="531"/>
      <c r="K23" s="531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29"/>
    </row>
    <row r="25" spans="1:29" ht="15.5" x14ac:dyDescent="0.35">
      <c r="B25" s="524"/>
      <c r="C25" s="522"/>
      <c r="D25" s="522"/>
      <c r="E25" s="528" t="s">
        <v>626</v>
      </c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</row>
    <row r="26" spans="1:29" ht="15.5" x14ac:dyDescent="0.35">
      <c r="B26" s="524"/>
      <c r="C26" s="522"/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  <c r="Q26" s="522"/>
      <c r="R26" s="522"/>
      <c r="S26" s="527"/>
      <c r="T26" s="527"/>
      <c r="U26" s="527"/>
      <c r="V26" s="527"/>
      <c r="W26" s="527"/>
      <c r="X26" s="526"/>
    </row>
    <row r="27" spans="1:29" ht="15.5" x14ac:dyDescent="0.35">
      <c r="B27" s="524"/>
      <c r="C27" s="522"/>
      <c r="D27" s="522"/>
      <c r="S27" s="526"/>
      <c r="T27" s="526"/>
      <c r="U27" s="526"/>
      <c r="V27" s="526"/>
      <c r="W27" s="527"/>
      <c r="X27" s="526"/>
      <c r="Y27" s="526"/>
      <c r="Z27" s="526"/>
      <c r="AA27" s="526"/>
      <c r="AB27" s="526"/>
      <c r="AC27" s="526"/>
    </row>
    <row r="28" spans="1:29" x14ac:dyDescent="0.3">
      <c r="B28" s="516"/>
      <c r="C28" s="520"/>
      <c r="D28" s="520"/>
      <c r="E28" s="520"/>
      <c r="F28" s="519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7"/>
      <c r="T28" s="517"/>
      <c r="U28" s="517"/>
      <c r="V28" s="517"/>
      <c r="W28" s="518"/>
      <c r="X28" s="517"/>
      <c r="Y28" s="517"/>
      <c r="Z28" s="517"/>
      <c r="AA28" s="517"/>
      <c r="AB28" s="517"/>
      <c r="AC28" s="517"/>
    </row>
    <row r="29" spans="1:29" x14ac:dyDescent="0.3">
      <c r="B29" s="516"/>
      <c r="C29" s="520"/>
      <c r="D29" s="520"/>
      <c r="E29" s="520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</row>
    <row r="30" spans="1:29" ht="15.5" x14ac:dyDescent="0.35">
      <c r="B30" s="524"/>
      <c r="C30" s="523"/>
      <c r="D30" s="523"/>
      <c r="E30" s="523"/>
      <c r="F30" s="523"/>
      <c r="G30" s="523"/>
      <c r="H30" s="523"/>
      <c r="I30" s="523"/>
      <c r="J30" s="523"/>
      <c r="K30" s="523"/>
      <c r="L30" s="523"/>
      <c r="M30" s="523"/>
      <c r="N30" s="523"/>
      <c r="O30" s="523"/>
      <c r="P30" s="523"/>
      <c r="Q30" s="523"/>
      <c r="R30" s="523"/>
      <c r="S30" s="522"/>
      <c r="T30" s="522"/>
      <c r="U30" s="522"/>
      <c r="V30" s="522"/>
      <c r="W30" s="522"/>
      <c r="X30" s="522"/>
    </row>
    <row r="31" spans="1:29" ht="15.5" x14ac:dyDescent="0.35">
      <c r="C31" s="522"/>
      <c r="D31" s="522"/>
      <c r="E31" s="521"/>
      <c r="F31" s="520"/>
      <c r="G31" s="520"/>
      <c r="H31" s="520"/>
      <c r="I31" s="520"/>
      <c r="J31" s="520"/>
      <c r="K31" s="520"/>
      <c r="L31" s="520"/>
      <c r="M31" s="520"/>
      <c r="N31" s="520"/>
      <c r="O31" s="520"/>
      <c r="P31" s="520"/>
      <c r="Q31" s="520"/>
      <c r="R31" s="520"/>
      <c r="W31" s="516"/>
    </row>
    <row r="32" spans="1:29" x14ac:dyDescent="0.3">
      <c r="B32" s="516"/>
      <c r="C32" s="520"/>
      <c r="D32" s="520"/>
      <c r="E32" s="520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7"/>
      <c r="T32" s="517"/>
      <c r="U32" s="517"/>
      <c r="V32" s="517"/>
      <c r="W32" s="518"/>
      <c r="X32" s="517"/>
      <c r="Y32" s="517"/>
      <c r="Z32" s="517"/>
      <c r="AA32" s="517"/>
      <c r="AB32" s="517"/>
      <c r="AC32" s="517"/>
    </row>
  </sheetData>
  <mergeCells count="3">
    <mergeCell ref="X1:AC1"/>
    <mergeCell ref="F1:T1"/>
    <mergeCell ref="E25:AC25"/>
  </mergeCells>
  <printOptions horizontalCentered="1"/>
  <pageMargins left="0.7" right="0.7" top="0.75" bottom="0.75" header="0.3" footer="0.3"/>
  <pageSetup paperSize="9" scale="52" orientation="landscape" verticalDpi="4294967292" r:id="rId1"/>
  <headerFooter>
    <oddFooter>&amp;CDOKUMENTS PARAKSTĪTS AR DROŠU ELEKTRONISKO PARAKSTU UN SATUR LAIKA ZĪMOGU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201E-3FFA-AB42-AF9E-3A18804432E8}">
  <dimension ref="A1:AX95"/>
  <sheetViews>
    <sheetView tabSelected="1" zoomScale="60" zoomScaleNormal="60" workbookViewId="0">
      <pane xSplit="13" ySplit="23" topLeftCell="Z24" activePane="bottomRight" state="frozen"/>
      <selection pane="topRight" activeCell="N1" sqref="N1"/>
      <selection pane="bottomLeft" activeCell="A24" sqref="A24"/>
      <selection pane="bottomRight" activeCell="E16" sqref="E16"/>
    </sheetView>
  </sheetViews>
  <sheetFormatPr defaultColWidth="9" defaultRowHeight="14" x14ac:dyDescent="0.3"/>
  <cols>
    <col min="1" max="1" width="47.6640625" style="116" customWidth="1"/>
    <col min="2" max="2" width="11.83203125" style="438" customWidth="1"/>
    <col min="3" max="3" width="13.5" style="438" customWidth="1"/>
    <col min="4" max="4" width="10.5" style="437" customWidth="1"/>
    <col min="5" max="5" width="13" style="437" customWidth="1"/>
    <col min="6" max="6" width="10.33203125" style="437" customWidth="1"/>
    <col min="7" max="7" width="14.5" style="437" customWidth="1"/>
    <col min="8" max="8" width="10.1640625" style="437" customWidth="1"/>
    <col min="9" max="9" width="14.83203125" style="437" customWidth="1"/>
    <col min="10" max="10" width="9.6640625" style="437" customWidth="1"/>
    <col min="11" max="11" width="15.83203125" style="437" customWidth="1"/>
    <col min="12" max="12" width="9.33203125" style="439" customWidth="1"/>
    <col min="13" max="13" width="14.1640625" style="437" customWidth="1"/>
    <col min="14" max="14" width="12.5" style="437" customWidth="1"/>
    <col min="15" max="15" width="16.9140625" style="437" customWidth="1"/>
    <col min="16" max="16" width="10.1640625" style="437" customWidth="1"/>
    <col min="17" max="17" width="12.83203125" style="437" customWidth="1"/>
    <col min="18" max="18" width="12.58203125" style="437" customWidth="1"/>
    <col min="19" max="19" width="12.83203125" style="437" customWidth="1"/>
    <col min="20" max="20" width="12.1640625" style="437" customWidth="1"/>
    <col min="21" max="21" width="14.5" style="437" customWidth="1"/>
    <col min="22" max="22" width="12.1640625" style="437" customWidth="1"/>
    <col min="23" max="23" width="14.83203125" style="437" customWidth="1"/>
    <col min="24" max="24" width="11.83203125" style="437" customWidth="1"/>
    <col min="25" max="25" width="11.6640625" style="437" customWidth="1"/>
    <col min="26" max="26" width="8.5" style="437" customWidth="1"/>
    <col min="27" max="27" width="13.1640625" style="437" customWidth="1"/>
    <col min="28" max="28" width="11" style="437" customWidth="1"/>
    <col min="29" max="29" width="15" style="437" customWidth="1"/>
    <col min="30" max="30" width="9" style="437"/>
    <col min="31" max="264" width="9" style="116"/>
    <col min="265" max="265" width="41" style="116" customWidth="1"/>
    <col min="266" max="267" width="9.5" style="116" customWidth="1"/>
    <col min="268" max="269" width="10.5" style="116" customWidth="1"/>
    <col min="270" max="271" width="9.5" style="116" customWidth="1"/>
    <col min="272" max="272" width="9" style="116"/>
    <col min="273" max="273" width="10.33203125" style="116" customWidth="1"/>
    <col min="274" max="275" width="9" style="116"/>
    <col min="276" max="279" width="10.33203125" style="116" customWidth="1"/>
    <col min="280" max="283" width="10" style="116" customWidth="1"/>
    <col min="284" max="284" width="11.33203125" style="116" customWidth="1"/>
    <col min="285" max="285" width="10" style="116" customWidth="1"/>
    <col min="286" max="520" width="9" style="116"/>
    <col min="521" max="521" width="41" style="116" customWidth="1"/>
    <col min="522" max="523" width="9.5" style="116" customWidth="1"/>
    <col min="524" max="525" width="10.5" style="116" customWidth="1"/>
    <col min="526" max="527" width="9.5" style="116" customWidth="1"/>
    <col min="528" max="528" width="9" style="116"/>
    <col min="529" max="529" width="10.33203125" style="116" customWidth="1"/>
    <col min="530" max="531" width="9" style="116"/>
    <col min="532" max="535" width="10.33203125" style="116" customWidth="1"/>
    <col min="536" max="539" width="10" style="116" customWidth="1"/>
    <col min="540" max="540" width="11.33203125" style="116" customWidth="1"/>
    <col min="541" max="541" width="10" style="116" customWidth="1"/>
    <col min="542" max="776" width="9" style="116"/>
    <col min="777" max="777" width="41" style="116" customWidth="1"/>
    <col min="778" max="779" width="9.5" style="116" customWidth="1"/>
    <col min="780" max="781" width="10.5" style="116" customWidth="1"/>
    <col min="782" max="783" width="9.5" style="116" customWidth="1"/>
    <col min="784" max="784" width="9" style="116"/>
    <col min="785" max="785" width="10.33203125" style="116" customWidth="1"/>
    <col min="786" max="787" width="9" style="116"/>
    <col min="788" max="791" width="10.33203125" style="116" customWidth="1"/>
    <col min="792" max="795" width="10" style="116" customWidth="1"/>
    <col min="796" max="796" width="11.33203125" style="116" customWidth="1"/>
    <col min="797" max="797" width="10" style="116" customWidth="1"/>
    <col min="798" max="1032" width="9" style="116"/>
    <col min="1033" max="1033" width="41" style="116" customWidth="1"/>
    <col min="1034" max="1035" width="9.5" style="116" customWidth="1"/>
    <col min="1036" max="1037" width="10.5" style="116" customWidth="1"/>
    <col min="1038" max="1039" width="9.5" style="116" customWidth="1"/>
    <col min="1040" max="1040" width="9" style="116"/>
    <col min="1041" max="1041" width="10.33203125" style="116" customWidth="1"/>
    <col min="1042" max="1043" width="9" style="116"/>
    <col min="1044" max="1047" width="10.33203125" style="116" customWidth="1"/>
    <col min="1048" max="1051" width="10" style="116" customWidth="1"/>
    <col min="1052" max="1052" width="11.33203125" style="116" customWidth="1"/>
    <col min="1053" max="1053" width="10" style="116" customWidth="1"/>
    <col min="1054" max="1288" width="9" style="116"/>
    <col min="1289" max="1289" width="41" style="116" customWidth="1"/>
    <col min="1290" max="1291" width="9.5" style="116" customWidth="1"/>
    <col min="1292" max="1293" width="10.5" style="116" customWidth="1"/>
    <col min="1294" max="1295" width="9.5" style="116" customWidth="1"/>
    <col min="1296" max="1296" width="9" style="116"/>
    <col min="1297" max="1297" width="10.33203125" style="116" customWidth="1"/>
    <col min="1298" max="1299" width="9" style="116"/>
    <col min="1300" max="1303" width="10.33203125" style="116" customWidth="1"/>
    <col min="1304" max="1307" width="10" style="116" customWidth="1"/>
    <col min="1308" max="1308" width="11.33203125" style="116" customWidth="1"/>
    <col min="1309" max="1309" width="10" style="116" customWidth="1"/>
    <col min="1310" max="1544" width="9" style="116"/>
    <col min="1545" max="1545" width="41" style="116" customWidth="1"/>
    <col min="1546" max="1547" width="9.5" style="116" customWidth="1"/>
    <col min="1548" max="1549" width="10.5" style="116" customWidth="1"/>
    <col min="1550" max="1551" width="9.5" style="116" customWidth="1"/>
    <col min="1552" max="1552" width="9" style="116"/>
    <col min="1553" max="1553" width="10.33203125" style="116" customWidth="1"/>
    <col min="1554" max="1555" width="9" style="116"/>
    <col min="1556" max="1559" width="10.33203125" style="116" customWidth="1"/>
    <col min="1560" max="1563" width="10" style="116" customWidth="1"/>
    <col min="1564" max="1564" width="11.33203125" style="116" customWidth="1"/>
    <col min="1565" max="1565" width="10" style="116" customWidth="1"/>
    <col min="1566" max="1800" width="9" style="116"/>
    <col min="1801" max="1801" width="41" style="116" customWidth="1"/>
    <col min="1802" max="1803" width="9.5" style="116" customWidth="1"/>
    <col min="1804" max="1805" width="10.5" style="116" customWidth="1"/>
    <col min="1806" max="1807" width="9.5" style="116" customWidth="1"/>
    <col min="1808" max="1808" width="9" style="116"/>
    <col min="1809" max="1809" width="10.33203125" style="116" customWidth="1"/>
    <col min="1810" max="1811" width="9" style="116"/>
    <col min="1812" max="1815" width="10.33203125" style="116" customWidth="1"/>
    <col min="1816" max="1819" width="10" style="116" customWidth="1"/>
    <col min="1820" max="1820" width="11.33203125" style="116" customWidth="1"/>
    <col min="1821" max="1821" width="10" style="116" customWidth="1"/>
    <col min="1822" max="2056" width="9" style="116"/>
    <col min="2057" max="2057" width="41" style="116" customWidth="1"/>
    <col min="2058" max="2059" width="9.5" style="116" customWidth="1"/>
    <col min="2060" max="2061" width="10.5" style="116" customWidth="1"/>
    <col min="2062" max="2063" width="9.5" style="116" customWidth="1"/>
    <col min="2064" max="2064" width="9" style="116"/>
    <col min="2065" max="2065" width="10.33203125" style="116" customWidth="1"/>
    <col min="2066" max="2067" width="9" style="116"/>
    <col min="2068" max="2071" width="10.33203125" style="116" customWidth="1"/>
    <col min="2072" max="2075" width="10" style="116" customWidth="1"/>
    <col min="2076" max="2076" width="11.33203125" style="116" customWidth="1"/>
    <col min="2077" max="2077" width="10" style="116" customWidth="1"/>
    <col min="2078" max="2312" width="9" style="116"/>
    <col min="2313" max="2313" width="41" style="116" customWidth="1"/>
    <col min="2314" max="2315" width="9.5" style="116" customWidth="1"/>
    <col min="2316" max="2317" width="10.5" style="116" customWidth="1"/>
    <col min="2318" max="2319" width="9.5" style="116" customWidth="1"/>
    <col min="2320" max="2320" width="9" style="116"/>
    <col min="2321" max="2321" width="10.33203125" style="116" customWidth="1"/>
    <col min="2322" max="2323" width="9" style="116"/>
    <col min="2324" max="2327" width="10.33203125" style="116" customWidth="1"/>
    <col min="2328" max="2331" width="10" style="116" customWidth="1"/>
    <col min="2332" max="2332" width="11.33203125" style="116" customWidth="1"/>
    <col min="2333" max="2333" width="10" style="116" customWidth="1"/>
    <col min="2334" max="2568" width="9" style="116"/>
    <col min="2569" max="2569" width="41" style="116" customWidth="1"/>
    <col min="2570" max="2571" width="9.5" style="116" customWidth="1"/>
    <col min="2572" max="2573" width="10.5" style="116" customWidth="1"/>
    <col min="2574" max="2575" width="9.5" style="116" customWidth="1"/>
    <col min="2576" max="2576" width="9" style="116"/>
    <col min="2577" max="2577" width="10.33203125" style="116" customWidth="1"/>
    <col min="2578" max="2579" width="9" style="116"/>
    <col min="2580" max="2583" width="10.33203125" style="116" customWidth="1"/>
    <col min="2584" max="2587" width="10" style="116" customWidth="1"/>
    <col min="2588" max="2588" width="11.33203125" style="116" customWidth="1"/>
    <col min="2589" max="2589" width="10" style="116" customWidth="1"/>
    <col min="2590" max="2824" width="9" style="116"/>
    <col min="2825" max="2825" width="41" style="116" customWidth="1"/>
    <col min="2826" max="2827" width="9.5" style="116" customWidth="1"/>
    <col min="2828" max="2829" width="10.5" style="116" customWidth="1"/>
    <col min="2830" max="2831" width="9.5" style="116" customWidth="1"/>
    <col min="2832" max="2832" width="9" style="116"/>
    <col min="2833" max="2833" width="10.33203125" style="116" customWidth="1"/>
    <col min="2834" max="2835" width="9" style="116"/>
    <col min="2836" max="2839" width="10.33203125" style="116" customWidth="1"/>
    <col min="2840" max="2843" width="10" style="116" customWidth="1"/>
    <col min="2844" max="2844" width="11.33203125" style="116" customWidth="1"/>
    <col min="2845" max="2845" width="10" style="116" customWidth="1"/>
    <col min="2846" max="3080" width="9" style="116"/>
    <col min="3081" max="3081" width="41" style="116" customWidth="1"/>
    <col min="3082" max="3083" width="9.5" style="116" customWidth="1"/>
    <col min="3084" max="3085" width="10.5" style="116" customWidth="1"/>
    <col min="3086" max="3087" width="9.5" style="116" customWidth="1"/>
    <col min="3088" max="3088" width="9" style="116"/>
    <col min="3089" max="3089" width="10.33203125" style="116" customWidth="1"/>
    <col min="3090" max="3091" width="9" style="116"/>
    <col min="3092" max="3095" width="10.33203125" style="116" customWidth="1"/>
    <col min="3096" max="3099" width="10" style="116" customWidth="1"/>
    <col min="3100" max="3100" width="11.33203125" style="116" customWidth="1"/>
    <col min="3101" max="3101" width="10" style="116" customWidth="1"/>
    <col min="3102" max="3336" width="9" style="116"/>
    <col min="3337" max="3337" width="41" style="116" customWidth="1"/>
    <col min="3338" max="3339" width="9.5" style="116" customWidth="1"/>
    <col min="3340" max="3341" width="10.5" style="116" customWidth="1"/>
    <col min="3342" max="3343" width="9.5" style="116" customWidth="1"/>
    <col min="3344" max="3344" width="9" style="116"/>
    <col min="3345" max="3345" width="10.33203125" style="116" customWidth="1"/>
    <col min="3346" max="3347" width="9" style="116"/>
    <col min="3348" max="3351" width="10.33203125" style="116" customWidth="1"/>
    <col min="3352" max="3355" width="10" style="116" customWidth="1"/>
    <col min="3356" max="3356" width="11.33203125" style="116" customWidth="1"/>
    <col min="3357" max="3357" width="10" style="116" customWidth="1"/>
    <col min="3358" max="3592" width="9" style="116"/>
    <col min="3593" max="3593" width="41" style="116" customWidth="1"/>
    <col min="3594" max="3595" width="9.5" style="116" customWidth="1"/>
    <col min="3596" max="3597" width="10.5" style="116" customWidth="1"/>
    <col min="3598" max="3599" width="9.5" style="116" customWidth="1"/>
    <col min="3600" max="3600" width="9" style="116"/>
    <col min="3601" max="3601" width="10.33203125" style="116" customWidth="1"/>
    <col min="3602" max="3603" width="9" style="116"/>
    <col min="3604" max="3607" width="10.33203125" style="116" customWidth="1"/>
    <col min="3608" max="3611" width="10" style="116" customWidth="1"/>
    <col min="3612" max="3612" width="11.33203125" style="116" customWidth="1"/>
    <col min="3613" max="3613" width="10" style="116" customWidth="1"/>
    <col min="3614" max="3848" width="9" style="116"/>
    <col min="3849" max="3849" width="41" style="116" customWidth="1"/>
    <col min="3850" max="3851" width="9.5" style="116" customWidth="1"/>
    <col min="3852" max="3853" width="10.5" style="116" customWidth="1"/>
    <col min="3854" max="3855" width="9.5" style="116" customWidth="1"/>
    <col min="3856" max="3856" width="9" style="116"/>
    <col min="3857" max="3857" width="10.33203125" style="116" customWidth="1"/>
    <col min="3858" max="3859" width="9" style="116"/>
    <col min="3860" max="3863" width="10.33203125" style="116" customWidth="1"/>
    <col min="3864" max="3867" width="10" style="116" customWidth="1"/>
    <col min="3868" max="3868" width="11.33203125" style="116" customWidth="1"/>
    <col min="3869" max="3869" width="10" style="116" customWidth="1"/>
    <col min="3870" max="4104" width="9" style="116"/>
    <col min="4105" max="4105" width="41" style="116" customWidth="1"/>
    <col min="4106" max="4107" width="9.5" style="116" customWidth="1"/>
    <col min="4108" max="4109" width="10.5" style="116" customWidth="1"/>
    <col min="4110" max="4111" width="9.5" style="116" customWidth="1"/>
    <col min="4112" max="4112" width="9" style="116"/>
    <col min="4113" max="4113" width="10.33203125" style="116" customWidth="1"/>
    <col min="4114" max="4115" width="9" style="116"/>
    <col min="4116" max="4119" width="10.33203125" style="116" customWidth="1"/>
    <col min="4120" max="4123" width="10" style="116" customWidth="1"/>
    <col min="4124" max="4124" width="11.33203125" style="116" customWidth="1"/>
    <col min="4125" max="4125" width="10" style="116" customWidth="1"/>
    <col min="4126" max="4360" width="9" style="116"/>
    <col min="4361" max="4361" width="41" style="116" customWidth="1"/>
    <col min="4362" max="4363" width="9.5" style="116" customWidth="1"/>
    <col min="4364" max="4365" width="10.5" style="116" customWidth="1"/>
    <col min="4366" max="4367" width="9.5" style="116" customWidth="1"/>
    <col min="4368" max="4368" width="9" style="116"/>
    <col min="4369" max="4369" width="10.33203125" style="116" customWidth="1"/>
    <col min="4370" max="4371" width="9" style="116"/>
    <col min="4372" max="4375" width="10.33203125" style="116" customWidth="1"/>
    <col min="4376" max="4379" width="10" style="116" customWidth="1"/>
    <col min="4380" max="4380" width="11.33203125" style="116" customWidth="1"/>
    <col min="4381" max="4381" width="10" style="116" customWidth="1"/>
    <col min="4382" max="4616" width="9" style="116"/>
    <col min="4617" max="4617" width="41" style="116" customWidth="1"/>
    <col min="4618" max="4619" width="9.5" style="116" customWidth="1"/>
    <col min="4620" max="4621" width="10.5" style="116" customWidth="1"/>
    <col min="4622" max="4623" width="9.5" style="116" customWidth="1"/>
    <col min="4624" max="4624" width="9" style="116"/>
    <col min="4625" max="4625" width="10.33203125" style="116" customWidth="1"/>
    <col min="4626" max="4627" width="9" style="116"/>
    <col min="4628" max="4631" width="10.33203125" style="116" customWidth="1"/>
    <col min="4632" max="4635" width="10" style="116" customWidth="1"/>
    <col min="4636" max="4636" width="11.33203125" style="116" customWidth="1"/>
    <col min="4637" max="4637" width="10" style="116" customWidth="1"/>
    <col min="4638" max="4872" width="9" style="116"/>
    <col min="4873" max="4873" width="41" style="116" customWidth="1"/>
    <col min="4874" max="4875" width="9.5" style="116" customWidth="1"/>
    <col min="4876" max="4877" width="10.5" style="116" customWidth="1"/>
    <col min="4878" max="4879" width="9.5" style="116" customWidth="1"/>
    <col min="4880" max="4880" width="9" style="116"/>
    <col min="4881" max="4881" width="10.33203125" style="116" customWidth="1"/>
    <col min="4882" max="4883" width="9" style="116"/>
    <col min="4884" max="4887" width="10.33203125" style="116" customWidth="1"/>
    <col min="4888" max="4891" width="10" style="116" customWidth="1"/>
    <col min="4892" max="4892" width="11.33203125" style="116" customWidth="1"/>
    <col min="4893" max="4893" width="10" style="116" customWidth="1"/>
    <col min="4894" max="5128" width="9" style="116"/>
    <col min="5129" max="5129" width="41" style="116" customWidth="1"/>
    <col min="5130" max="5131" width="9.5" style="116" customWidth="1"/>
    <col min="5132" max="5133" width="10.5" style="116" customWidth="1"/>
    <col min="5134" max="5135" width="9.5" style="116" customWidth="1"/>
    <col min="5136" max="5136" width="9" style="116"/>
    <col min="5137" max="5137" width="10.33203125" style="116" customWidth="1"/>
    <col min="5138" max="5139" width="9" style="116"/>
    <col min="5140" max="5143" width="10.33203125" style="116" customWidth="1"/>
    <col min="5144" max="5147" width="10" style="116" customWidth="1"/>
    <col min="5148" max="5148" width="11.33203125" style="116" customWidth="1"/>
    <col min="5149" max="5149" width="10" style="116" customWidth="1"/>
    <col min="5150" max="5384" width="9" style="116"/>
    <col min="5385" max="5385" width="41" style="116" customWidth="1"/>
    <col min="5386" max="5387" width="9.5" style="116" customWidth="1"/>
    <col min="5388" max="5389" width="10.5" style="116" customWidth="1"/>
    <col min="5390" max="5391" width="9.5" style="116" customWidth="1"/>
    <col min="5392" max="5392" width="9" style="116"/>
    <col min="5393" max="5393" width="10.33203125" style="116" customWidth="1"/>
    <col min="5394" max="5395" width="9" style="116"/>
    <col min="5396" max="5399" width="10.33203125" style="116" customWidth="1"/>
    <col min="5400" max="5403" width="10" style="116" customWidth="1"/>
    <col min="5404" max="5404" width="11.33203125" style="116" customWidth="1"/>
    <col min="5405" max="5405" width="10" style="116" customWidth="1"/>
    <col min="5406" max="5640" width="9" style="116"/>
    <col min="5641" max="5641" width="41" style="116" customWidth="1"/>
    <col min="5642" max="5643" width="9.5" style="116" customWidth="1"/>
    <col min="5644" max="5645" width="10.5" style="116" customWidth="1"/>
    <col min="5646" max="5647" width="9.5" style="116" customWidth="1"/>
    <col min="5648" max="5648" width="9" style="116"/>
    <col min="5649" max="5649" width="10.33203125" style="116" customWidth="1"/>
    <col min="5650" max="5651" width="9" style="116"/>
    <col min="5652" max="5655" width="10.33203125" style="116" customWidth="1"/>
    <col min="5656" max="5659" width="10" style="116" customWidth="1"/>
    <col min="5660" max="5660" width="11.33203125" style="116" customWidth="1"/>
    <col min="5661" max="5661" width="10" style="116" customWidth="1"/>
    <col min="5662" max="5896" width="9" style="116"/>
    <col min="5897" max="5897" width="41" style="116" customWidth="1"/>
    <col min="5898" max="5899" width="9.5" style="116" customWidth="1"/>
    <col min="5900" max="5901" width="10.5" style="116" customWidth="1"/>
    <col min="5902" max="5903" width="9.5" style="116" customWidth="1"/>
    <col min="5904" max="5904" width="9" style="116"/>
    <col min="5905" max="5905" width="10.33203125" style="116" customWidth="1"/>
    <col min="5906" max="5907" width="9" style="116"/>
    <col min="5908" max="5911" width="10.33203125" style="116" customWidth="1"/>
    <col min="5912" max="5915" width="10" style="116" customWidth="1"/>
    <col min="5916" max="5916" width="11.33203125" style="116" customWidth="1"/>
    <col min="5917" max="5917" width="10" style="116" customWidth="1"/>
    <col min="5918" max="6152" width="9" style="116"/>
    <col min="6153" max="6153" width="41" style="116" customWidth="1"/>
    <col min="6154" max="6155" width="9.5" style="116" customWidth="1"/>
    <col min="6156" max="6157" width="10.5" style="116" customWidth="1"/>
    <col min="6158" max="6159" width="9.5" style="116" customWidth="1"/>
    <col min="6160" max="6160" width="9" style="116"/>
    <col min="6161" max="6161" width="10.33203125" style="116" customWidth="1"/>
    <col min="6162" max="6163" width="9" style="116"/>
    <col min="6164" max="6167" width="10.33203125" style="116" customWidth="1"/>
    <col min="6168" max="6171" width="10" style="116" customWidth="1"/>
    <col min="6172" max="6172" width="11.33203125" style="116" customWidth="1"/>
    <col min="6173" max="6173" width="10" style="116" customWidth="1"/>
    <col min="6174" max="6408" width="9" style="116"/>
    <col min="6409" max="6409" width="41" style="116" customWidth="1"/>
    <col min="6410" max="6411" width="9.5" style="116" customWidth="1"/>
    <col min="6412" max="6413" width="10.5" style="116" customWidth="1"/>
    <col min="6414" max="6415" width="9.5" style="116" customWidth="1"/>
    <col min="6416" max="6416" width="9" style="116"/>
    <col min="6417" max="6417" width="10.33203125" style="116" customWidth="1"/>
    <col min="6418" max="6419" width="9" style="116"/>
    <col min="6420" max="6423" width="10.33203125" style="116" customWidth="1"/>
    <col min="6424" max="6427" width="10" style="116" customWidth="1"/>
    <col min="6428" max="6428" width="11.33203125" style="116" customWidth="1"/>
    <col min="6429" max="6429" width="10" style="116" customWidth="1"/>
    <col min="6430" max="6664" width="9" style="116"/>
    <col min="6665" max="6665" width="41" style="116" customWidth="1"/>
    <col min="6666" max="6667" width="9.5" style="116" customWidth="1"/>
    <col min="6668" max="6669" width="10.5" style="116" customWidth="1"/>
    <col min="6670" max="6671" width="9.5" style="116" customWidth="1"/>
    <col min="6672" max="6672" width="9" style="116"/>
    <col min="6673" max="6673" width="10.33203125" style="116" customWidth="1"/>
    <col min="6674" max="6675" width="9" style="116"/>
    <col min="6676" max="6679" width="10.33203125" style="116" customWidth="1"/>
    <col min="6680" max="6683" width="10" style="116" customWidth="1"/>
    <col min="6684" max="6684" width="11.33203125" style="116" customWidth="1"/>
    <col min="6685" max="6685" width="10" style="116" customWidth="1"/>
    <col min="6686" max="6920" width="9" style="116"/>
    <col min="6921" max="6921" width="41" style="116" customWidth="1"/>
    <col min="6922" max="6923" width="9.5" style="116" customWidth="1"/>
    <col min="6924" max="6925" width="10.5" style="116" customWidth="1"/>
    <col min="6926" max="6927" width="9.5" style="116" customWidth="1"/>
    <col min="6928" max="6928" width="9" style="116"/>
    <col min="6929" max="6929" width="10.33203125" style="116" customWidth="1"/>
    <col min="6930" max="6931" width="9" style="116"/>
    <col min="6932" max="6935" width="10.33203125" style="116" customWidth="1"/>
    <col min="6936" max="6939" width="10" style="116" customWidth="1"/>
    <col min="6940" max="6940" width="11.33203125" style="116" customWidth="1"/>
    <col min="6941" max="6941" width="10" style="116" customWidth="1"/>
    <col min="6942" max="7176" width="9" style="116"/>
    <col min="7177" max="7177" width="41" style="116" customWidth="1"/>
    <col min="7178" max="7179" width="9.5" style="116" customWidth="1"/>
    <col min="7180" max="7181" width="10.5" style="116" customWidth="1"/>
    <col min="7182" max="7183" width="9.5" style="116" customWidth="1"/>
    <col min="7184" max="7184" width="9" style="116"/>
    <col min="7185" max="7185" width="10.33203125" style="116" customWidth="1"/>
    <col min="7186" max="7187" width="9" style="116"/>
    <col min="7188" max="7191" width="10.33203125" style="116" customWidth="1"/>
    <col min="7192" max="7195" width="10" style="116" customWidth="1"/>
    <col min="7196" max="7196" width="11.33203125" style="116" customWidth="1"/>
    <col min="7197" max="7197" width="10" style="116" customWidth="1"/>
    <col min="7198" max="7432" width="9" style="116"/>
    <col min="7433" max="7433" width="41" style="116" customWidth="1"/>
    <col min="7434" max="7435" width="9.5" style="116" customWidth="1"/>
    <col min="7436" max="7437" width="10.5" style="116" customWidth="1"/>
    <col min="7438" max="7439" width="9.5" style="116" customWidth="1"/>
    <col min="7440" max="7440" width="9" style="116"/>
    <col min="7441" max="7441" width="10.33203125" style="116" customWidth="1"/>
    <col min="7442" max="7443" width="9" style="116"/>
    <col min="7444" max="7447" width="10.33203125" style="116" customWidth="1"/>
    <col min="7448" max="7451" width="10" style="116" customWidth="1"/>
    <col min="7452" max="7452" width="11.33203125" style="116" customWidth="1"/>
    <col min="7453" max="7453" width="10" style="116" customWidth="1"/>
    <col min="7454" max="7688" width="9" style="116"/>
    <col min="7689" max="7689" width="41" style="116" customWidth="1"/>
    <col min="7690" max="7691" width="9.5" style="116" customWidth="1"/>
    <col min="7692" max="7693" width="10.5" style="116" customWidth="1"/>
    <col min="7694" max="7695" width="9.5" style="116" customWidth="1"/>
    <col min="7696" max="7696" width="9" style="116"/>
    <col min="7697" max="7697" width="10.33203125" style="116" customWidth="1"/>
    <col min="7698" max="7699" width="9" style="116"/>
    <col min="7700" max="7703" width="10.33203125" style="116" customWidth="1"/>
    <col min="7704" max="7707" width="10" style="116" customWidth="1"/>
    <col min="7708" max="7708" width="11.33203125" style="116" customWidth="1"/>
    <col min="7709" max="7709" width="10" style="116" customWidth="1"/>
    <col min="7710" max="7944" width="9" style="116"/>
    <col min="7945" max="7945" width="41" style="116" customWidth="1"/>
    <col min="7946" max="7947" width="9.5" style="116" customWidth="1"/>
    <col min="7948" max="7949" width="10.5" style="116" customWidth="1"/>
    <col min="7950" max="7951" width="9.5" style="116" customWidth="1"/>
    <col min="7952" max="7952" width="9" style="116"/>
    <col min="7953" max="7953" width="10.33203125" style="116" customWidth="1"/>
    <col min="7954" max="7955" width="9" style="116"/>
    <col min="7956" max="7959" width="10.33203125" style="116" customWidth="1"/>
    <col min="7960" max="7963" width="10" style="116" customWidth="1"/>
    <col min="7964" max="7964" width="11.33203125" style="116" customWidth="1"/>
    <col min="7965" max="7965" width="10" style="116" customWidth="1"/>
    <col min="7966" max="8200" width="9" style="116"/>
    <col min="8201" max="8201" width="41" style="116" customWidth="1"/>
    <col min="8202" max="8203" width="9.5" style="116" customWidth="1"/>
    <col min="8204" max="8205" width="10.5" style="116" customWidth="1"/>
    <col min="8206" max="8207" width="9.5" style="116" customWidth="1"/>
    <col min="8208" max="8208" width="9" style="116"/>
    <col min="8209" max="8209" width="10.33203125" style="116" customWidth="1"/>
    <col min="8210" max="8211" width="9" style="116"/>
    <col min="8212" max="8215" width="10.33203125" style="116" customWidth="1"/>
    <col min="8216" max="8219" width="10" style="116" customWidth="1"/>
    <col min="8220" max="8220" width="11.33203125" style="116" customWidth="1"/>
    <col min="8221" max="8221" width="10" style="116" customWidth="1"/>
    <col min="8222" max="8456" width="9" style="116"/>
    <col min="8457" max="8457" width="41" style="116" customWidth="1"/>
    <col min="8458" max="8459" width="9.5" style="116" customWidth="1"/>
    <col min="8460" max="8461" width="10.5" style="116" customWidth="1"/>
    <col min="8462" max="8463" width="9.5" style="116" customWidth="1"/>
    <col min="8464" max="8464" width="9" style="116"/>
    <col min="8465" max="8465" width="10.33203125" style="116" customWidth="1"/>
    <col min="8466" max="8467" width="9" style="116"/>
    <col min="8468" max="8471" width="10.33203125" style="116" customWidth="1"/>
    <col min="8472" max="8475" width="10" style="116" customWidth="1"/>
    <col min="8476" max="8476" width="11.33203125" style="116" customWidth="1"/>
    <col min="8477" max="8477" width="10" style="116" customWidth="1"/>
    <col min="8478" max="8712" width="9" style="116"/>
    <col min="8713" max="8713" width="41" style="116" customWidth="1"/>
    <col min="8714" max="8715" width="9.5" style="116" customWidth="1"/>
    <col min="8716" max="8717" width="10.5" style="116" customWidth="1"/>
    <col min="8718" max="8719" width="9.5" style="116" customWidth="1"/>
    <col min="8720" max="8720" width="9" style="116"/>
    <col min="8721" max="8721" width="10.33203125" style="116" customWidth="1"/>
    <col min="8722" max="8723" width="9" style="116"/>
    <col min="8724" max="8727" width="10.33203125" style="116" customWidth="1"/>
    <col min="8728" max="8731" width="10" style="116" customWidth="1"/>
    <col min="8732" max="8732" width="11.33203125" style="116" customWidth="1"/>
    <col min="8733" max="8733" width="10" style="116" customWidth="1"/>
    <col min="8734" max="8968" width="9" style="116"/>
    <col min="8969" max="8969" width="41" style="116" customWidth="1"/>
    <col min="8970" max="8971" width="9.5" style="116" customWidth="1"/>
    <col min="8972" max="8973" width="10.5" style="116" customWidth="1"/>
    <col min="8974" max="8975" width="9.5" style="116" customWidth="1"/>
    <col min="8976" max="8976" width="9" style="116"/>
    <col min="8977" max="8977" width="10.33203125" style="116" customWidth="1"/>
    <col min="8978" max="8979" width="9" style="116"/>
    <col min="8980" max="8983" width="10.33203125" style="116" customWidth="1"/>
    <col min="8984" max="8987" width="10" style="116" customWidth="1"/>
    <col min="8988" max="8988" width="11.33203125" style="116" customWidth="1"/>
    <col min="8989" max="8989" width="10" style="116" customWidth="1"/>
    <col min="8990" max="9224" width="9" style="116"/>
    <col min="9225" max="9225" width="41" style="116" customWidth="1"/>
    <col min="9226" max="9227" width="9.5" style="116" customWidth="1"/>
    <col min="9228" max="9229" width="10.5" style="116" customWidth="1"/>
    <col min="9230" max="9231" width="9.5" style="116" customWidth="1"/>
    <col min="9232" max="9232" width="9" style="116"/>
    <col min="9233" max="9233" width="10.33203125" style="116" customWidth="1"/>
    <col min="9234" max="9235" width="9" style="116"/>
    <col min="9236" max="9239" width="10.33203125" style="116" customWidth="1"/>
    <col min="9240" max="9243" width="10" style="116" customWidth="1"/>
    <col min="9244" max="9244" width="11.33203125" style="116" customWidth="1"/>
    <col min="9245" max="9245" width="10" style="116" customWidth="1"/>
    <col min="9246" max="9480" width="9" style="116"/>
    <col min="9481" max="9481" width="41" style="116" customWidth="1"/>
    <col min="9482" max="9483" width="9.5" style="116" customWidth="1"/>
    <col min="9484" max="9485" width="10.5" style="116" customWidth="1"/>
    <col min="9486" max="9487" width="9.5" style="116" customWidth="1"/>
    <col min="9488" max="9488" width="9" style="116"/>
    <col min="9489" max="9489" width="10.33203125" style="116" customWidth="1"/>
    <col min="9490" max="9491" width="9" style="116"/>
    <col min="9492" max="9495" width="10.33203125" style="116" customWidth="1"/>
    <col min="9496" max="9499" width="10" style="116" customWidth="1"/>
    <col min="9500" max="9500" width="11.33203125" style="116" customWidth="1"/>
    <col min="9501" max="9501" width="10" style="116" customWidth="1"/>
    <col min="9502" max="9736" width="9" style="116"/>
    <col min="9737" max="9737" width="41" style="116" customWidth="1"/>
    <col min="9738" max="9739" width="9.5" style="116" customWidth="1"/>
    <col min="9740" max="9741" width="10.5" style="116" customWidth="1"/>
    <col min="9742" max="9743" width="9.5" style="116" customWidth="1"/>
    <col min="9744" max="9744" width="9" style="116"/>
    <col min="9745" max="9745" width="10.33203125" style="116" customWidth="1"/>
    <col min="9746" max="9747" width="9" style="116"/>
    <col min="9748" max="9751" width="10.33203125" style="116" customWidth="1"/>
    <col min="9752" max="9755" width="10" style="116" customWidth="1"/>
    <col min="9756" max="9756" width="11.33203125" style="116" customWidth="1"/>
    <col min="9757" max="9757" width="10" style="116" customWidth="1"/>
    <col min="9758" max="9992" width="9" style="116"/>
    <col min="9993" max="9993" width="41" style="116" customWidth="1"/>
    <col min="9994" max="9995" width="9.5" style="116" customWidth="1"/>
    <col min="9996" max="9997" width="10.5" style="116" customWidth="1"/>
    <col min="9998" max="9999" width="9.5" style="116" customWidth="1"/>
    <col min="10000" max="10000" width="9" style="116"/>
    <col min="10001" max="10001" width="10.33203125" style="116" customWidth="1"/>
    <col min="10002" max="10003" width="9" style="116"/>
    <col min="10004" max="10007" width="10.33203125" style="116" customWidth="1"/>
    <col min="10008" max="10011" width="10" style="116" customWidth="1"/>
    <col min="10012" max="10012" width="11.33203125" style="116" customWidth="1"/>
    <col min="10013" max="10013" width="10" style="116" customWidth="1"/>
    <col min="10014" max="10248" width="9" style="116"/>
    <col min="10249" max="10249" width="41" style="116" customWidth="1"/>
    <col min="10250" max="10251" width="9.5" style="116" customWidth="1"/>
    <col min="10252" max="10253" width="10.5" style="116" customWidth="1"/>
    <col min="10254" max="10255" width="9.5" style="116" customWidth="1"/>
    <col min="10256" max="10256" width="9" style="116"/>
    <col min="10257" max="10257" width="10.33203125" style="116" customWidth="1"/>
    <col min="10258" max="10259" width="9" style="116"/>
    <col min="10260" max="10263" width="10.33203125" style="116" customWidth="1"/>
    <col min="10264" max="10267" width="10" style="116" customWidth="1"/>
    <col min="10268" max="10268" width="11.33203125" style="116" customWidth="1"/>
    <col min="10269" max="10269" width="10" style="116" customWidth="1"/>
    <col min="10270" max="10504" width="9" style="116"/>
    <col min="10505" max="10505" width="41" style="116" customWidth="1"/>
    <col min="10506" max="10507" width="9.5" style="116" customWidth="1"/>
    <col min="10508" max="10509" width="10.5" style="116" customWidth="1"/>
    <col min="10510" max="10511" width="9.5" style="116" customWidth="1"/>
    <col min="10512" max="10512" width="9" style="116"/>
    <col min="10513" max="10513" width="10.33203125" style="116" customWidth="1"/>
    <col min="10514" max="10515" width="9" style="116"/>
    <col min="10516" max="10519" width="10.33203125" style="116" customWidth="1"/>
    <col min="10520" max="10523" width="10" style="116" customWidth="1"/>
    <col min="10524" max="10524" width="11.33203125" style="116" customWidth="1"/>
    <col min="10525" max="10525" width="10" style="116" customWidth="1"/>
    <col min="10526" max="10760" width="9" style="116"/>
    <col min="10761" max="10761" width="41" style="116" customWidth="1"/>
    <col min="10762" max="10763" width="9.5" style="116" customWidth="1"/>
    <col min="10764" max="10765" width="10.5" style="116" customWidth="1"/>
    <col min="10766" max="10767" width="9.5" style="116" customWidth="1"/>
    <col min="10768" max="10768" width="9" style="116"/>
    <col min="10769" max="10769" width="10.33203125" style="116" customWidth="1"/>
    <col min="10770" max="10771" width="9" style="116"/>
    <col min="10772" max="10775" width="10.33203125" style="116" customWidth="1"/>
    <col min="10776" max="10779" width="10" style="116" customWidth="1"/>
    <col min="10780" max="10780" width="11.33203125" style="116" customWidth="1"/>
    <col min="10781" max="10781" width="10" style="116" customWidth="1"/>
    <col min="10782" max="11016" width="9" style="116"/>
    <col min="11017" max="11017" width="41" style="116" customWidth="1"/>
    <col min="11018" max="11019" width="9.5" style="116" customWidth="1"/>
    <col min="11020" max="11021" width="10.5" style="116" customWidth="1"/>
    <col min="11022" max="11023" width="9.5" style="116" customWidth="1"/>
    <col min="11024" max="11024" width="9" style="116"/>
    <col min="11025" max="11025" width="10.33203125" style="116" customWidth="1"/>
    <col min="11026" max="11027" width="9" style="116"/>
    <col min="11028" max="11031" width="10.33203125" style="116" customWidth="1"/>
    <col min="11032" max="11035" width="10" style="116" customWidth="1"/>
    <col min="11036" max="11036" width="11.33203125" style="116" customWidth="1"/>
    <col min="11037" max="11037" width="10" style="116" customWidth="1"/>
    <col min="11038" max="11272" width="9" style="116"/>
    <col min="11273" max="11273" width="41" style="116" customWidth="1"/>
    <col min="11274" max="11275" width="9.5" style="116" customWidth="1"/>
    <col min="11276" max="11277" width="10.5" style="116" customWidth="1"/>
    <col min="11278" max="11279" width="9.5" style="116" customWidth="1"/>
    <col min="11280" max="11280" width="9" style="116"/>
    <col min="11281" max="11281" width="10.33203125" style="116" customWidth="1"/>
    <col min="11282" max="11283" width="9" style="116"/>
    <col min="11284" max="11287" width="10.33203125" style="116" customWidth="1"/>
    <col min="11288" max="11291" width="10" style="116" customWidth="1"/>
    <col min="11292" max="11292" width="11.33203125" style="116" customWidth="1"/>
    <col min="11293" max="11293" width="10" style="116" customWidth="1"/>
    <col min="11294" max="11528" width="9" style="116"/>
    <col min="11529" max="11529" width="41" style="116" customWidth="1"/>
    <col min="11530" max="11531" width="9.5" style="116" customWidth="1"/>
    <col min="11532" max="11533" width="10.5" style="116" customWidth="1"/>
    <col min="11534" max="11535" width="9.5" style="116" customWidth="1"/>
    <col min="11536" max="11536" width="9" style="116"/>
    <col min="11537" max="11537" width="10.33203125" style="116" customWidth="1"/>
    <col min="11538" max="11539" width="9" style="116"/>
    <col min="11540" max="11543" width="10.33203125" style="116" customWidth="1"/>
    <col min="11544" max="11547" width="10" style="116" customWidth="1"/>
    <col min="11548" max="11548" width="11.33203125" style="116" customWidth="1"/>
    <col min="11549" max="11549" width="10" style="116" customWidth="1"/>
    <col min="11550" max="11784" width="9" style="116"/>
    <col min="11785" max="11785" width="41" style="116" customWidth="1"/>
    <col min="11786" max="11787" width="9.5" style="116" customWidth="1"/>
    <col min="11788" max="11789" width="10.5" style="116" customWidth="1"/>
    <col min="11790" max="11791" width="9.5" style="116" customWidth="1"/>
    <col min="11792" max="11792" width="9" style="116"/>
    <col min="11793" max="11793" width="10.33203125" style="116" customWidth="1"/>
    <col min="11794" max="11795" width="9" style="116"/>
    <col min="11796" max="11799" width="10.33203125" style="116" customWidth="1"/>
    <col min="11800" max="11803" width="10" style="116" customWidth="1"/>
    <col min="11804" max="11804" width="11.33203125" style="116" customWidth="1"/>
    <col min="11805" max="11805" width="10" style="116" customWidth="1"/>
    <col min="11806" max="12040" width="9" style="116"/>
    <col min="12041" max="12041" width="41" style="116" customWidth="1"/>
    <col min="12042" max="12043" width="9.5" style="116" customWidth="1"/>
    <col min="12044" max="12045" width="10.5" style="116" customWidth="1"/>
    <col min="12046" max="12047" width="9.5" style="116" customWidth="1"/>
    <col min="12048" max="12048" width="9" style="116"/>
    <col min="12049" max="12049" width="10.33203125" style="116" customWidth="1"/>
    <col min="12050" max="12051" width="9" style="116"/>
    <col min="12052" max="12055" width="10.33203125" style="116" customWidth="1"/>
    <col min="12056" max="12059" width="10" style="116" customWidth="1"/>
    <col min="12060" max="12060" width="11.33203125" style="116" customWidth="1"/>
    <col min="12061" max="12061" width="10" style="116" customWidth="1"/>
    <col min="12062" max="12296" width="9" style="116"/>
    <col min="12297" max="12297" width="41" style="116" customWidth="1"/>
    <col min="12298" max="12299" width="9.5" style="116" customWidth="1"/>
    <col min="12300" max="12301" width="10.5" style="116" customWidth="1"/>
    <col min="12302" max="12303" width="9.5" style="116" customWidth="1"/>
    <col min="12304" max="12304" width="9" style="116"/>
    <col min="12305" max="12305" width="10.33203125" style="116" customWidth="1"/>
    <col min="12306" max="12307" width="9" style="116"/>
    <col min="12308" max="12311" width="10.33203125" style="116" customWidth="1"/>
    <col min="12312" max="12315" width="10" style="116" customWidth="1"/>
    <col min="12316" max="12316" width="11.33203125" style="116" customWidth="1"/>
    <col min="12317" max="12317" width="10" style="116" customWidth="1"/>
    <col min="12318" max="12552" width="9" style="116"/>
    <col min="12553" max="12553" width="41" style="116" customWidth="1"/>
    <col min="12554" max="12555" width="9.5" style="116" customWidth="1"/>
    <col min="12556" max="12557" width="10.5" style="116" customWidth="1"/>
    <col min="12558" max="12559" width="9.5" style="116" customWidth="1"/>
    <col min="12560" max="12560" width="9" style="116"/>
    <col min="12561" max="12561" width="10.33203125" style="116" customWidth="1"/>
    <col min="12562" max="12563" width="9" style="116"/>
    <col min="12564" max="12567" width="10.33203125" style="116" customWidth="1"/>
    <col min="12568" max="12571" width="10" style="116" customWidth="1"/>
    <col min="12572" max="12572" width="11.33203125" style="116" customWidth="1"/>
    <col min="12573" max="12573" width="10" style="116" customWidth="1"/>
    <col min="12574" max="12808" width="9" style="116"/>
    <col min="12809" max="12809" width="41" style="116" customWidth="1"/>
    <col min="12810" max="12811" width="9.5" style="116" customWidth="1"/>
    <col min="12812" max="12813" width="10.5" style="116" customWidth="1"/>
    <col min="12814" max="12815" width="9.5" style="116" customWidth="1"/>
    <col min="12816" max="12816" width="9" style="116"/>
    <col min="12817" max="12817" width="10.33203125" style="116" customWidth="1"/>
    <col min="12818" max="12819" width="9" style="116"/>
    <col min="12820" max="12823" width="10.33203125" style="116" customWidth="1"/>
    <col min="12824" max="12827" width="10" style="116" customWidth="1"/>
    <col min="12828" max="12828" width="11.33203125" style="116" customWidth="1"/>
    <col min="12829" max="12829" width="10" style="116" customWidth="1"/>
    <col min="12830" max="13064" width="9" style="116"/>
    <col min="13065" max="13065" width="41" style="116" customWidth="1"/>
    <col min="13066" max="13067" width="9.5" style="116" customWidth="1"/>
    <col min="13068" max="13069" width="10.5" style="116" customWidth="1"/>
    <col min="13070" max="13071" width="9.5" style="116" customWidth="1"/>
    <col min="13072" max="13072" width="9" style="116"/>
    <col min="13073" max="13073" width="10.33203125" style="116" customWidth="1"/>
    <col min="13074" max="13075" width="9" style="116"/>
    <col min="13076" max="13079" width="10.33203125" style="116" customWidth="1"/>
    <col min="13080" max="13083" width="10" style="116" customWidth="1"/>
    <col min="13084" max="13084" width="11.33203125" style="116" customWidth="1"/>
    <col min="13085" max="13085" width="10" style="116" customWidth="1"/>
    <col min="13086" max="13320" width="9" style="116"/>
    <col min="13321" max="13321" width="41" style="116" customWidth="1"/>
    <col min="13322" max="13323" width="9.5" style="116" customWidth="1"/>
    <col min="13324" max="13325" width="10.5" style="116" customWidth="1"/>
    <col min="13326" max="13327" width="9.5" style="116" customWidth="1"/>
    <col min="13328" max="13328" width="9" style="116"/>
    <col min="13329" max="13329" width="10.33203125" style="116" customWidth="1"/>
    <col min="13330" max="13331" width="9" style="116"/>
    <col min="13332" max="13335" width="10.33203125" style="116" customWidth="1"/>
    <col min="13336" max="13339" width="10" style="116" customWidth="1"/>
    <col min="13340" max="13340" width="11.33203125" style="116" customWidth="1"/>
    <col min="13341" max="13341" width="10" style="116" customWidth="1"/>
    <col min="13342" max="13576" width="9" style="116"/>
    <col min="13577" max="13577" width="41" style="116" customWidth="1"/>
    <col min="13578" max="13579" width="9.5" style="116" customWidth="1"/>
    <col min="13580" max="13581" width="10.5" style="116" customWidth="1"/>
    <col min="13582" max="13583" width="9.5" style="116" customWidth="1"/>
    <col min="13584" max="13584" width="9" style="116"/>
    <col min="13585" max="13585" width="10.33203125" style="116" customWidth="1"/>
    <col min="13586" max="13587" width="9" style="116"/>
    <col min="13588" max="13591" width="10.33203125" style="116" customWidth="1"/>
    <col min="13592" max="13595" width="10" style="116" customWidth="1"/>
    <col min="13596" max="13596" width="11.33203125" style="116" customWidth="1"/>
    <col min="13597" max="13597" width="10" style="116" customWidth="1"/>
    <col min="13598" max="13832" width="9" style="116"/>
    <col min="13833" max="13833" width="41" style="116" customWidth="1"/>
    <col min="13834" max="13835" width="9.5" style="116" customWidth="1"/>
    <col min="13836" max="13837" width="10.5" style="116" customWidth="1"/>
    <col min="13838" max="13839" width="9.5" style="116" customWidth="1"/>
    <col min="13840" max="13840" width="9" style="116"/>
    <col min="13841" max="13841" width="10.33203125" style="116" customWidth="1"/>
    <col min="13842" max="13843" width="9" style="116"/>
    <col min="13844" max="13847" width="10.33203125" style="116" customWidth="1"/>
    <col min="13848" max="13851" width="10" style="116" customWidth="1"/>
    <col min="13852" max="13852" width="11.33203125" style="116" customWidth="1"/>
    <col min="13853" max="13853" width="10" style="116" customWidth="1"/>
    <col min="13854" max="14088" width="9" style="116"/>
    <col min="14089" max="14089" width="41" style="116" customWidth="1"/>
    <col min="14090" max="14091" width="9.5" style="116" customWidth="1"/>
    <col min="14092" max="14093" width="10.5" style="116" customWidth="1"/>
    <col min="14094" max="14095" width="9.5" style="116" customWidth="1"/>
    <col min="14096" max="14096" width="9" style="116"/>
    <col min="14097" max="14097" width="10.33203125" style="116" customWidth="1"/>
    <col min="14098" max="14099" width="9" style="116"/>
    <col min="14100" max="14103" width="10.33203125" style="116" customWidth="1"/>
    <col min="14104" max="14107" width="10" style="116" customWidth="1"/>
    <col min="14108" max="14108" width="11.33203125" style="116" customWidth="1"/>
    <col min="14109" max="14109" width="10" style="116" customWidth="1"/>
    <col min="14110" max="14344" width="9" style="116"/>
    <col min="14345" max="14345" width="41" style="116" customWidth="1"/>
    <col min="14346" max="14347" width="9.5" style="116" customWidth="1"/>
    <col min="14348" max="14349" width="10.5" style="116" customWidth="1"/>
    <col min="14350" max="14351" width="9.5" style="116" customWidth="1"/>
    <col min="14352" max="14352" width="9" style="116"/>
    <col min="14353" max="14353" width="10.33203125" style="116" customWidth="1"/>
    <col min="14354" max="14355" width="9" style="116"/>
    <col min="14356" max="14359" width="10.33203125" style="116" customWidth="1"/>
    <col min="14360" max="14363" width="10" style="116" customWidth="1"/>
    <col min="14364" max="14364" width="11.33203125" style="116" customWidth="1"/>
    <col min="14365" max="14365" width="10" style="116" customWidth="1"/>
    <col min="14366" max="14600" width="9" style="116"/>
    <col min="14601" max="14601" width="41" style="116" customWidth="1"/>
    <col min="14602" max="14603" width="9.5" style="116" customWidth="1"/>
    <col min="14604" max="14605" width="10.5" style="116" customWidth="1"/>
    <col min="14606" max="14607" width="9.5" style="116" customWidth="1"/>
    <col min="14608" max="14608" width="9" style="116"/>
    <col min="14609" max="14609" width="10.33203125" style="116" customWidth="1"/>
    <col min="14610" max="14611" width="9" style="116"/>
    <col min="14612" max="14615" width="10.33203125" style="116" customWidth="1"/>
    <col min="14616" max="14619" width="10" style="116" customWidth="1"/>
    <col min="14620" max="14620" width="11.33203125" style="116" customWidth="1"/>
    <col min="14621" max="14621" width="10" style="116" customWidth="1"/>
    <col min="14622" max="14856" width="9" style="116"/>
    <col min="14857" max="14857" width="41" style="116" customWidth="1"/>
    <col min="14858" max="14859" width="9.5" style="116" customWidth="1"/>
    <col min="14860" max="14861" width="10.5" style="116" customWidth="1"/>
    <col min="14862" max="14863" width="9.5" style="116" customWidth="1"/>
    <col min="14864" max="14864" width="9" style="116"/>
    <col min="14865" max="14865" width="10.33203125" style="116" customWidth="1"/>
    <col min="14866" max="14867" width="9" style="116"/>
    <col min="14868" max="14871" width="10.33203125" style="116" customWidth="1"/>
    <col min="14872" max="14875" width="10" style="116" customWidth="1"/>
    <col min="14876" max="14876" width="11.33203125" style="116" customWidth="1"/>
    <col min="14877" max="14877" width="10" style="116" customWidth="1"/>
    <col min="14878" max="15112" width="9" style="116"/>
    <col min="15113" max="15113" width="41" style="116" customWidth="1"/>
    <col min="15114" max="15115" width="9.5" style="116" customWidth="1"/>
    <col min="15116" max="15117" width="10.5" style="116" customWidth="1"/>
    <col min="15118" max="15119" width="9.5" style="116" customWidth="1"/>
    <col min="15120" max="15120" width="9" style="116"/>
    <col min="15121" max="15121" width="10.33203125" style="116" customWidth="1"/>
    <col min="15122" max="15123" width="9" style="116"/>
    <col min="15124" max="15127" width="10.33203125" style="116" customWidth="1"/>
    <col min="15128" max="15131" width="10" style="116" customWidth="1"/>
    <col min="15132" max="15132" width="11.33203125" style="116" customWidth="1"/>
    <col min="15133" max="15133" width="10" style="116" customWidth="1"/>
    <col min="15134" max="15368" width="9" style="116"/>
    <col min="15369" max="15369" width="41" style="116" customWidth="1"/>
    <col min="15370" max="15371" width="9.5" style="116" customWidth="1"/>
    <col min="15372" max="15373" width="10.5" style="116" customWidth="1"/>
    <col min="15374" max="15375" width="9.5" style="116" customWidth="1"/>
    <col min="15376" max="15376" width="9" style="116"/>
    <col min="15377" max="15377" width="10.33203125" style="116" customWidth="1"/>
    <col min="15378" max="15379" width="9" style="116"/>
    <col min="15380" max="15383" width="10.33203125" style="116" customWidth="1"/>
    <col min="15384" max="15387" width="10" style="116" customWidth="1"/>
    <col min="15388" max="15388" width="11.33203125" style="116" customWidth="1"/>
    <col min="15389" max="15389" width="10" style="116" customWidth="1"/>
    <col min="15390" max="15624" width="9" style="116"/>
    <col min="15625" max="15625" width="41" style="116" customWidth="1"/>
    <col min="15626" max="15627" width="9.5" style="116" customWidth="1"/>
    <col min="15628" max="15629" width="10.5" style="116" customWidth="1"/>
    <col min="15630" max="15631" width="9.5" style="116" customWidth="1"/>
    <col min="15632" max="15632" width="9" style="116"/>
    <col min="15633" max="15633" width="10.33203125" style="116" customWidth="1"/>
    <col min="15634" max="15635" width="9" style="116"/>
    <col min="15636" max="15639" width="10.33203125" style="116" customWidth="1"/>
    <col min="15640" max="15643" width="10" style="116" customWidth="1"/>
    <col min="15644" max="15644" width="11.33203125" style="116" customWidth="1"/>
    <col min="15645" max="15645" width="10" style="116" customWidth="1"/>
    <col min="15646" max="15880" width="9" style="116"/>
    <col min="15881" max="15881" width="41" style="116" customWidth="1"/>
    <col min="15882" max="15883" width="9.5" style="116" customWidth="1"/>
    <col min="15884" max="15885" width="10.5" style="116" customWidth="1"/>
    <col min="15886" max="15887" width="9.5" style="116" customWidth="1"/>
    <col min="15888" max="15888" width="9" style="116"/>
    <col min="15889" max="15889" width="10.33203125" style="116" customWidth="1"/>
    <col min="15890" max="15891" width="9" style="116"/>
    <col min="15892" max="15895" width="10.33203125" style="116" customWidth="1"/>
    <col min="15896" max="15899" width="10" style="116" customWidth="1"/>
    <col min="15900" max="15900" width="11.33203125" style="116" customWidth="1"/>
    <col min="15901" max="15901" width="10" style="116" customWidth="1"/>
    <col min="15902" max="16136" width="9" style="116"/>
    <col min="16137" max="16137" width="41" style="116" customWidth="1"/>
    <col min="16138" max="16139" width="9.5" style="116" customWidth="1"/>
    <col min="16140" max="16141" width="10.5" style="116" customWidth="1"/>
    <col min="16142" max="16143" width="9.5" style="116" customWidth="1"/>
    <col min="16144" max="16144" width="9" style="116"/>
    <col min="16145" max="16145" width="10.33203125" style="116" customWidth="1"/>
    <col min="16146" max="16147" width="9" style="116"/>
    <col min="16148" max="16151" width="10.33203125" style="116" customWidth="1"/>
    <col min="16152" max="16155" width="10" style="116" customWidth="1"/>
    <col min="16156" max="16156" width="11.33203125" style="116" customWidth="1"/>
    <col min="16157" max="16157" width="10" style="116" customWidth="1"/>
    <col min="16158" max="16384" width="9" style="116"/>
  </cols>
  <sheetData>
    <row r="1" spans="1:50" ht="59.25" customHeight="1" thickBot="1" x14ac:dyDescent="0.35">
      <c r="A1" s="350" t="s">
        <v>476</v>
      </c>
      <c r="B1" s="502" t="s">
        <v>477</v>
      </c>
      <c r="C1" s="503"/>
      <c r="D1" s="504" t="s">
        <v>478</v>
      </c>
      <c r="E1" s="505"/>
      <c r="F1" s="506" t="s">
        <v>479</v>
      </c>
      <c r="G1" s="505"/>
      <c r="H1" s="506" t="s">
        <v>480</v>
      </c>
      <c r="I1" s="501"/>
      <c r="J1" s="504" t="s">
        <v>481</v>
      </c>
      <c r="K1" s="505"/>
      <c r="L1" s="500" t="s">
        <v>482</v>
      </c>
      <c r="M1" s="501"/>
      <c r="N1" s="500" t="s">
        <v>483</v>
      </c>
      <c r="O1" s="511"/>
      <c r="P1" s="500" t="s">
        <v>484</v>
      </c>
      <c r="Q1" s="501"/>
      <c r="R1" s="511" t="s">
        <v>485</v>
      </c>
      <c r="S1" s="511"/>
      <c r="T1" s="500" t="s">
        <v>486</v>
      </c>
      <c r="U1" s="511"/>
      <c r="V1" s="500" t="s">
        <v>487</v>
      </c>
      <c r="W1" s="511"/>
      <c r="X1" s="500" t="s">
        <v>488</v>
      </c>
      <c r="Y1" s="501"/>
      <c r="Z1" s="500" t="s">
        <v>489</v>
      </c>
      <c r="AA1" s="501"/>
      <c r="AB1" s="507" t="s">
        <v>490</v>
      </c>
      <c r="AC1" s="508"/>
      <c r="AD1" s="351" t="s">
        <v>491</v>
      </c>
    </row>
    <row r="2" spans="1:50" ht="15.75" customHeight="1" x14ac:dyDescent="0.3">
      <c r="A2" s="352" t="s">
        <v>492</v>
      </c>
      <c r="B2" s="353" t="s">
        <v>493</v>
      </c>
      <c r="C2" s="354" t="s">
        <v>494</v>
      </c>
      <c r="D2" s="355" t="s">
        <v>495</v>
      </c>
      <c r="E2" s="356" t="s">
        <v>494</v>
      </c>
      <c r="F2" s="355" t="s">
        <v>495</v>
      </c>
      <c r="G2" s="356" t="s">
        <v>494</v>
      </c>
      <c r="H2" s="355" t="s">
        <v>495</v>
      </c>
      <c r="I2" s="356" t="s">
        <v>494</v>
      </c>
      <c r="J2" s="355" t="s">
        <v>495</v>
      </c>
      <c r="K2" s="356" t="s">
        <v>494</v>
      </c>
      <c r="L2" s="355" t="s">
        <v>495</v>
      </c>
      <c r="M2" s="356" t="s">
        <v>494</v>
      </c>
      <c r="N2" s="355" t="s">
        <v>495</v>
      </c>
      <c r="O2" s="356" t="s">
        <v>494</v>
      </c>
      <c r="P2" s="357" t="s">
        <v>495</v>
      </c>
      <c r="Q2" s="356" t="s">
        <v>494</v>
      </c>
      <c r="R2" s="357" t="s">
        <v>495</v>
      </c>
      <c r="S2" s="358" t="s">
        <v>494</v>
      </c>
      <c r="T2" s="357" t="s">
        <v>495</v>
      </c>
      <c r="U2" s="358" t="s">
        <v>494</v>
      </c>
      <c r="V2" s="357" t="s">
        <v>495</v>
      </c>
      <c r="W2" s="358" t="s">
        <v>494</v>
      </c>
      <c r="X2" s="357" t="s">
        <v>495</v>
      </c>
      <c r="Y2" s="356" t="s">
        <v>494</v>
      </c>
      <c r="Z2" s="355" t="s">
        <v>495</v>
      </c>
      <c r="AA2" s="356" t="s">
        <v>494</v>
      </c>
      <c r="AB2" s="359">
        <v>2023</v>
      </c>
      <c r="AC2" s="360" t="s">
        <v>494</v>
      </c>
      <c r="AD2" s="361"/>
    </row>
    <row r="3" spans="1:50" s="374" customFormat="1" x14ac:dyDescent="0.3">
      <c r="A3" s="362" t="s">
        <v>496</v>
      </c>
      <c r="B3" s="363"/>
      <c r="C3" s="364"/>
      <c r="D3" s="365" t="s">
        <v>497</v>
      </c>
      <c r="E3" s="365" t="s">
        <v>498</v>
      </c>
      <c r="F3" s="366"/>
      <c r="G3" s="363"/>
      <c r="H3" s="366"/>
      <c r="I3" s="363"/>
      <c r="J3" s="367" t="s">
        <v>499</v>
      </c>
      <c r="K3" s="368" t="s">
        <v>500</v>
      </c>
      <c r="L3" s="366"/>
      <c r="M3" s="363"/>
      <c r="N3" s="509" t="s">
        <v>501</v>
      </c>
      <c r="O3" s="510"/>
      <c r="P3" s="509" t="s">
        <v>501</v>
      </c>
      <c r="Q3" s="510"/>
      <c r="R3" s="366" t="s">
        <v>502</v>
      </c>
      <c r="S3" s="368"/>
      <c r="T3" s="366"/>
      <c r="U3" s="368"/>
      <c r="V3" s="366"/>
      <c r="W3" s="370"/>
      <c r="X3" s="366"/>
      <c r="Y3" s="368"/>
      <c r="Z3" s="367"/>
      <c r="AA3" s="363"/>
      <c r="AB3" s="371"/>
      <c r="AC3" s="372"/>
      <c r="AD3" s="373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</row>
    <row r="4" spans="1:50" x14ac:dyDescent="0.3">
      <c r="A4" s="375" t="s">
        <v>503</v>
      </c>
      <c r="B4" s="376">
        <v>15000</v>
      </c>
      <c r="C4" s="377"/>
      <c r="D4" s="378"/>
      <c r="E4" s="378"/>
      <c r="F4" s="379"/>
      <c r="G4" s="380"/>
      <c r="H4" s="379"/>
      <c r="I4" s="380"/>
      <c r="J4" s="381"/>
      <c r="K4" s="382"/>
      <c r="L4" s="383"/>
      <c r="M4" s="384"/>
      <c r="N4" s="381"/>
      <c r="O4" s="382"/>
      <c r="P4" s="379"/>
      <c r="Q4" s="380"/>
      <c r="R4" s="379"/>
      <c r="S4" s="382"/>
      <c r="T4" s="379"/>
      <c r="U4" s="382"/>
      <c r="V4" s="379"/>
      <c r="W4" s="382"/>
      <c r="X4" s="379"/>
      <c r="Y4" s="382"/>
      <c r="Z4" s="379"/>
      <c r="AA4" s="380"/>
      <c r="AB4" s="379">
        <f t="shared" ref="AB4:AC44" si="0">B4+D4+F4+H4+J4+L4+N4+P4+R4+T4+V4+X4+Z4</f>
        <v>15000</v>
      </c>
      <c r="AC4" s="380">
        <f t="shared" si="0"/>
        <v>0</v>
      </c>
      <c r="AD4" s="385">
        <f t="shared" ref="AD4:AD44" si="1">AC4-AB4</f>
        <v>-15000</v>
      </c>
    </row>
    <row r="5" spans="1:50" x14ac:dyDescent="0.3">
      <c r="A5" s="375" t="s">
        <v>504</v>
      </c>
      <c r="B5" s="376">
        <v>500</v>
      </c>
      <c r="C5" s="386">
        <v>15000</v>
      </c>
      <c r="D5" s="378"/>
      <c r="E5" s="378"/>
      <c r="F5" s="379"/>
      <c r="G5" s="380"/>
      <c r="H5" s="379"/>
      <c r="I5" s="380"/>
      <c r="J5" s="381"/>
      <c r="K5" s="382"/>
      <c r="L5" s="383"/>
      <c r="M5" s="384"/>
      <c r="N5" s="381"/>
      <c r="O5" s="382"/>
      <c r="P5" s="379"/>
      <c r="Q5" s="380"/>
      <c r="R5" s="379"/>
      <c r="S5" s="382"/>
      <c r="T5" s="379"/>
      <c r="U5" s="382"/>
      <c r="V5" s="379"/>
      <c r="W5" s="382"/>
      <c r="X5" s="379"/>
      <c r="Y5" s="382"/>
      <c r="Z5" s="379"/>
      <c r="AA5" s="380"/>
      <c r="AB5" s="379">
        <f t="shared" si="0"/>
        <v>500</v>
      </c>
      <c r="AC5" s="380">
        <f t="shared" si="0"/>
        <v>15000</v>
      </c>
      <c r="AD5" s="385">
        <f t="shared" si="1"/>
        <v>14500</v>
      </c>
    </row>
    <row r="6" spans="1:50" x14ac:dyDescent="0.3">
      <c r="A6" s="375" t="s">
        <v>505</v>
      </c>
      <c r="B6" s="376"/>
      <c r="C6" s="377"/>
      <c r="D6" s="378"/>
      <c r="E6" s="378"/>
      <c r="F6" s="379"/>
      <c r="G6" s="380"/>
      <c r="H6" s="379"/>
      <c r="I6" s="380"/>
      <c r="J6" s="381"/>
      <c r="K6" s="382"/>
      <c r="L6" s="383"/>
      <c r="M6" s="384"/>
      <c r="N6" s="381"/>
      <c r="O6" s="382"/>
      <c r="P6" s="379"/>
      <c r="Q6" s="380"/>
      <c r="R6" s="379"/>
      <c r="S6" s="382"/>
      <c r="T6" s="379"/>
      <c r="U6" s="382"/>
      <c r="V6" s="379"/>
      <c r="W6" s="382"/>
      <c r="X6" s="379"/>
      <c r="Y6" s="382"/>
      <c r="Z6" s="379">
        <v>40000</v>
      </c>
      <c r="AA6" s="380">
        <v>51260</v>
      </c>
      <c r="AB6" s="379">
        <f t="shared" si="0"/>
        <v>40000</v>
      </c>
      <c r="AC6" s="380">
        <f t="shared" si="0"/>
        <v>51260</v>
      </c>
      <c r="AD6" s="385">
        <f t="shared" si="1"/>
        <v>11260</v>
      </c>
    </row>
    <row r="7" spans="1:50" x14ac:dyDescent="0.3">
      <c r="A7" s="375" t="s">
        <v>506</v>
      </c>
      <c r="B7" s="376"/>
      <c r="C7" s="377"/>
      <c r="D7" s="378"/>
      <c r="E7" s="387"/>
      <c r="F7" s="379"/>
      <c r="G7" s="380"/>
      <c r="H7" s="379"/>
      <c r="I7" s="380"/>
      <c r="J7" s="381"/>
      <c r="K7" s="382"/>
      <c r="L7" s="383">
        <v>2860</v>
      </c>
      <c r="M7" s="384"/>
      <c r="N7" s="381"/>
      <c r="O7" s="382"/>
      <c r="P7" s="379"/>
      <c r="Q7" s="380"/>
      <c r="R7" s="379"/>
      <c r="S7" s="382"/>
      <c r="T7" s="379"/>
      <c r="U7" s="382"/>
      <c r="V7" s="379"/>
      <c r="W7" s="382"/>
      <c r="X7" s="379"/>
      <c r="Y7" s="382">
        <v>500</v>
      </c>
      <c r="Z7" s="379"/>
      <c r="AA7" s="380"/>
      <c r="AB7" s="379">
        <f t="shared" si="0"/>
        <v>2860</v>
      </c>
      <c r="AC7" s="380">
        <f t="shared" si="0"/>
        <v>500</v>
      </c>
      <c r="AD7" s="385">
        <f t="shared" si="1"/>
        <v>-2360</v>
      </c>
    </row>
    <row r="8" spans="1:50" x14ac:dyDescent="0.3">
      <c r="A8" s="375" t="s">
        <v>507</v>
      </c>
      <c r="B8" s="376"/>
      <c r="C8" s="377"/>
      <c r="D8" s="378"/>
      <c r="E8" s="378"/>
      <c r="F8" s="379"/>
      <c r="G8" s="380"/>
      <c r="H8" s="379"/>
      <c r="I8" s="380"/>
      <c r="J8" s="381"/>
      <c r="K8" s="382"/>
      <c r="L8" s="383"/>
      <c r="M8" s="384"/>
      <c r="N8" s="381"/>
      <c r="O8" s="382"/>
      <c r="P8" s="379"/>
      <c r="Q8" s="380"/>
      <c r="R8" s="379"/>
      <c r="S8" s="382"/>
      <c r="T8" s="379"/>
      <c r="U8" s="382"/>
      <c r="V8" s="379"/>
      <c r="W8" s="382"/>
      <c r="X8" s="379"/>
      <c r="Y8" s="382">
        <v>500</v>
      </c>
      <c r="Z8" s="379"/>
      <c r="AA8" s="380"/>
      <c r="AB8" s="379">
        <f t="shared" si="0"/>
        <v>0</v>
      </c>
      <c r="AC8" s="380">
        <f t="shared" si="0"/>
        <v>500</v>
      </c>
      <c r="AD8" s="385">
        <f t="shared" si="1"/>
        <v>500</v>
      </c>
    </row>
    <row r="9" spans="1:50" x14ac:dyDescent="0.3">
      <c r="A9" s="375" t="s">
        <v>508</v>
      </c>
      <c r="B9" s="376"/>
      <c r="C9" s="377"/>
      <c r="D9" s="378"/>
      <c r="E9" s="378"/>
      <c r="F9" s="379"/>
      <c r="G9" s="380"/>
      <c r="H9" s="379"/>
      <c r="I9" s="380"/>
      <c r="J9" s="381"/>
      <c r="K9" s="382"/>
      <c r="L9" s="383"/>
      <c r="M9" s="384"/>
      <c r="N9" s="381"/>
      <c r="O9" s="382"/>
      <c r="P9" s="379"/>
      <c r="Q9" s="380"/>
      <c r="R9" s="379"/>
      <c r="S9" s="382"/>
      <c r="T9" s="379"/>
      <c r="U9" s="382"/>
      <c r="V9" s="379"/>
      <c r="W9" s="382"/>
      <c r="X9" s="379"/>
      <c r="Y9" s="382">
        <v>500</v>
      </c>
      <c r="Z9" s="379"/>
      <c r="AA9" s="380"/>
      <c r="AB9" s="379">
        <f t="shared" si="0"/>
        <v>0</v>
      </c>
      <c r="AC9" s="380">
        <f t="shared" si="0"/>
        <v>500</v>
      </c>
      <c r="AD9" s="385">
        <f t="shared" si="1"/>
        <v>500</v>
      </c>
    </row>
    <row r="10" spans="1:50" x14ac:dyDescent="0.3">
      <c r="A10" s="375" t="s">
        <v>509</v>
      </c>
      <c r="B10" s="376"/>
      <c r="C10" s="377"/>
      <c r="D10" s="378"/>
      <c r="E10" s="378"/>
      <c r="F10" s="379"/>
      <c r="G10" s="380"/>
      <c r="H10" s="388"/>
      <c r="I10" s="389"/>
      <c r="J10" s="381"/>
      <c r="K10" s="382"/>
      <c r="L10" s="383"/>
      <c r="M10" s="384">
        <v>3000</v>
      </c>
      <c r="N10" s="381"/>
      <c r="O10" s="382"/>
      <c r="P10" s="379"/>
      <c r="Q10" s="380"/>
      <c r="R10" s="379"/>
      <c r="S10" s="382"/>
      <c r="T10" s="379"/>
      <c r="U10" s="382"/>
      <c r="V10" s="379"/>
      <c r="W10" s="382"/>
      <c r="X10" s="379"/>
      <c r="Y10" s="382"/>
      <c r="Z10" s="379"/>
      <c r="AA10" s="380"/>
      <c r="AB10" s="379">
        <f t="shared" si="0"/>
        <v>0</v>
      </c>
      <c r="AC10" s="380">
        <f t="shared" si="0"/>
        <v>3000</v>
      </c>
      <c r="AD10" s="385">
        <f t="shared" si="1"/>
        <v>3000</v>
      </c>
    </row>
    <row r="11" spans="1:50" x14ac:dyDescent="0.3">
      <c r="A11" s="375" t="s">
        <v>510</v>
      </c>
      <c r="B11" s="376"/>
      <c r="C11" s="377"/>
      <c r="D11" s="378"/>
      <c r="E11" s="378"/>
      <c r="F11" s="379"/>
      <c r="G11" s="380"/>
      <c r="H11" s="388"/>
      <c r="I11" s="389"/>
      <c r="J11" s="381"/>
      <c r="K11" s="382"/>
      <c r="L11" s="383"/>
      <c r="M11" s="384">
        <v>700</v>
      </c>
      <c r="N11" s="381"/>
      <c r="O11" s="382"/>
      <c r="P11" s="379"/>
      <c r="Q11" s="380"/>
      <c r="R11" s="379"/>
      <c r="S11" s="382"/>
      <c r="T11" s="379"/>
      <c r="U11" s="382"/>
      <c r="V11" s="379"/>
      <c r="W11" s="382"/>
      <c r="X11" s="379"/>
      <c r="Y11" s="382">
        <v>500</v>
      </c>
      <c r="Z11" s="379"/>
      <c r="AA11" s="380"/>
      <c r="AB11" s="379">
        <f t="shared" si="0"/>
        <v>0</v>
      </c>
      <c r="AC11" s="380">
        <f t="shared" si="0"/>
        <v>1200</v>
      </c>
      <c r="AD11" s="385">
        <f t="shared" si="1"/>
        <v>1200</v>
      </c>
    </row>
    <row r="12" spans="1:50" x14ac:dyDescent="0.3">
      <c r="A12" s="375" t="s">
        <v>511</v>
      </c>
      <c r="B12" s="380"/>
      <c r="C12" s="377"/>
      <c r="D12" s="378"/>
      <c r="E12" s="378"/>
      <c r="F12" s="379">
        <v>1900</v>
      </c>
      <c r="G12" s="380">
        <v>2500</v>
      </c>
      <c r="H12" s="388"/>
      <c r="I12" s="389"/>
      <c r="J12" s="381"/>
      <c r="K12" s="382"/>
      <c r="L12" s="383"/>
      <c r="M12" s="384"/>
      <c r="N12" s="381"/>
      <c r="O12" s="382"/>
      <c r="P12" s="379"/>
      <c r="Q12" s="380"/>
      <c r="R12" s="379"/>
      <c r="S12" s="382"/>
      <c r="T12" s="379"/>
      <c r="U12" s="382"/>
      <c r="V12" s="379"/>
      <c r="W12" s="382"/>
      <c r="X12" s="379"/>
      <c r="Y12" s="382"/>
      <c r="Z12" s="379"/>
      <c r="AA12" s="380"/>
      <c r="AB12" s="379">
        <f t="shared" si="0"/>
        <v>1900</v>
      </c>
      <c r="AC12" s="380">
        <f t="shared" si="0"/>
        <v>2500</v>
      </c>
      <c r="AD12" s="385">
        <f t="shared" si="1"/>
        <v>600</v>
      </c>
    </row>
    <row r="13" spans="1:50" x14ac:dyDescent="0.3">
      <c r="A13" s="375" t="s">
        <v>512</v>
      </c>
      <c r="B13" s="380"/>
      <c r="C13" s="377"/>
      <c r="D13" s="378"/>
      <c r="E13" s="378"/>
      <c r="F13" s="379"/>
      <c r="G13" s="380"/>
      <c r="H13" s="388">
        <v>605</v>
      </c>
      <c r="I13" s="389">
        <v>800</v>
      </c>
      <c r="J13" s="381"/>
      <c r="K13" s="382"/>
      <c r="L13" s="383"/>
      <c r="M13" s="384"/>
      <c r="N13" s="381"/>
      <c r="O13" s="382"/>
      <c r="P13" s="379"/>
      <c r="Q13" s="380"/>
      <c r="R13" s="379"/>
      <c r="S13" s="382"/>
      <c r="T13" s="379"/>
      <c r="U13" s="382"/>
      <c r="V13" s="379"/>
      <c r="W13" s="382"/>
      <c r="X13" s="379"/>
      <c r="Y13" s="382"/>
      <c r="Z13" s="379"/>
      <c r="AA13" s="380"/>
      <c r="AB13" s="379">
        <f t="shared" si="0"/>
        <v>605</v>
      </c>
      <c r="AC13" s="380">
        <f t="shared" si="0"/>
        <v>800</v>
      </c>
      <c r="AD13" s="385">
        <f t="shared" si="1"/>
        <v>195</v>
      </c>
    </row>
    <row r="14" spans="1:50" x14ac:dyDescent="0.3">
      <c r="A14" s="375" t="s">
        <v>513</v>
      </c>
      <c r="B14" s="380"/>
      <c r="C14" s="377">
        <v>300</v>
      </c>
      <c r="D14" s="378">
        <v>100</v>
      </c>
      <c r="E14" s="378">
        <v>280</v>
      </c>
      <c r="F14" s="379"/>
      <c r="G14" s="380"/>
      <c r="H14" s="379"/>
      <c r="I14" s="380"/>
      <c r="J14" s="381">
        <v>880</v>
      </c>
      <c r="K14" s="382">
        <v>1100</v>
      </c>
      <c r="L14" s="383"/>
      <c r="M14" s="384"/>
      <c r="N14" s="381"/>
      <c r="O14" s="382">
        <f>450*5</f>
        <v>2250</v>
      </c>
      <c r="P14" s="379"/>
      <c r="Q14" s="380">
        <f>150*5</f>
        <v>750</v>
      </c>
      <c r="R14" s="379"/>
      <c r="S14" s="382">
        <v>200</v>
      </c>
      <c r="T14" s="379"/>
      <c r="U14" s="382"/>
      <c r="V14" s="379"/>
      <c r="W14" s="382"/>
      <c r="X14" s="379"/>
      <c r="Y14" s="382"/>
      <c r="Z14" s="379"/>
      <c r="AA14" s="380"/>
      <c r="AB14" s="379">
        <f t="shared" si="0"/>
        <v>980</v>
      </c>
      <c r="AC14" s="380">
        <f t="shared" si="0"/>
        <v>4880</v>
      </c>
      <c r="AD14" s="385">
        <f t="shared" si="1"/>
        <v>3900</v>
      </c>
    </row>
    <row r="15" spans="1:50" x14ac:dyDescent="0.3">
      <c r="A15" s="375" t="s">
        <v>514</v>
      </c>
      <c r="B15" s="380"/>
      <c r="C15" s="377">
        <v>120</v>
      </c>
      <c r="D15" s="378">
        <v>70</v>
      </c>
      <c r="E15" s="378">
        <v>170</v>
      </c>
      <c r="F15" s="379"/>
      <c r="G15" s="380"/>
      <c r="H15" s="379"/>
      <c r="I15" s="380"/>
      <c r="J15" s="381"/>
      <c r="K15" s="382">
        <v>100</v>
      </c>
      <c r="L15" s="383"/>
      <c r="M15" s="384"/>
      <c r="N15" s="381"/>
      <c r="O15" s="382">
        <f>70*5</f>
        <v>350</v>
      </c>
      <c r="P15" s="379"/>
      <c r="Q15" s="380">
        <f>70*4</f>
        <v>280</v>
      </c>
      <c r="R15" s="379"/>
      <c r="S15" s="382">
        <v>70</v>
      </c>
      <c r="T15" s="379"/>
      <c r="U15" s="382"/>
      <c r="V15" s="379"/>
      <c r="W15" s="382"/>
      <c r="X15" s="379"/>
      <c r="Y15" s="382"/>
      <c r="Z15" s="379"/>
      <c r="AA15" s="380"/>
      <c r="AB15" s="379">
        <f t="shared" si="0"/>
        <v>70</v>
      </c>
      <c r="AC15" s="380">
        <f t="shared" si="0"/>
        <v>1090</v>
      </c>
      <c r="AD15" s="385">
        <f t="shared" si="1"/>
        <v>1020</v>
      </c>
    </row>
    <row r="16" spans="1:50" x14ac:dyDescent="0.3">
      <c r="A16" s="375" t="s">
        <v>515</v>
      </c>
      <c r="B16" s="380">
        <v>744</v>
      </c>
      <c r="C16" s="377">
        <v>500</v>
      </c>
      <c r="D16" s="378">
        <v>250</v>
      </c>
      <c r="E16" s="378">
        <v>400</v>
      </c>
      <c r="F16" s="379"/>
      <c r="G16" s="380"/>
      <c r="H16" s="379"/>
      <c r="I16" s="380"/>
      <c r="J16" s="381">
        <v>484</v>
      </c>
      <c r="K16" s="382">
        <v>400</v>
      </c>
      <c r="L16" s="383"/>
      <c r="M16" s="384"/>
      <c r="N16" s="381"/>
      <c r="O16" s="382">
        <f>400*5</f>
        <v>2000</v>
      </c>
      <c r="P16" s="379"/>
      <c r="Q16" s="380">
        <f>300*4</f>
        <v>1200</v>
      </c>
      <c r="R16" s="379"/>
      <c r="S16" s="382">
        <v>300</v>
      </c>
      <c r="T16" s="379"/>
      <c r="U16" s="382"/>
      <c r="V16" s="379"/>
      <c r="W16" s="382"/>
      <c r="X16" s="379"/>
      <c r="Y16" s="382"/>
      <c r="Z16" s="379"/>
      <c r="AA16" s="380"/>
      <c r="AB16" s="379">
        <f t="shared" si="0"/>
        <v>1478</v>
      </c>
      <c r="AC16" s="380">
        <f t="shared" si="0"/>
        <v>4800</v>
      </c>
      <c r="AD16" s="385">
        <f t="shared" si="1"/>
        <v>3322</v>
      </c>
    </row>
    <row r="17" spans="1:30" x14ac:dyDescent="0.3">
      <c r="A17" s="375" t="s">
        <v>516</v>
      </c>
      <c r="B17" s="380"/>
      <c r="C17" s="377"/>
      <c r="D17" s="378">
        <v>1050</v>
      </c>
      <c r="E17" s="378">
        <v>1500</v>
      </c>
      <c r="F17" s="379"/>
      <c r="G17" s="380"/>
      <c r="H17" s="379"/>
      <c r="I17" s="380"/>
      <c r="J17" s="381"/>
      <c r="K17" s="382"/>
      <c r="L17" s="383"/>
      <c r="M17" s="384"/>
      <c r="N17" s="381"/>
      <c r="O17" s="382"/>
      <c r="P17" s="379">
        <f>650+1063+66.9+36.75+938.1</f>
        <v>2754.75</v>
      </c>
      <c r="Q17" s="380">
        <v>2400</v>
      </c>
      <c r="R17" s="379"/>
      <c r="S17" s="382"/>
      <c r="T17" s="379"/>
      <c r="U17" s="382"/>
      <c r="V17" s="379"/>
      <c r="W17" s="382"/>
      <c r="X17" s="379"/>
      <c r="Y17" s="382"/>
      <c r="Z17" s="379">
        <v>1260</v>
      </c>
      <c r="AA17" s="380"/>
      <c r="AB17" s="379">
        <f t="shared" si="0"/>
        <v>5064.75</v>
      </c>
      <c r="AC17" s="380">
        <f t="shared" si="0"/>
        <v>3900</v>
      </c>
      <c r="AD17" s="385">
        <f t="shared" si="1"/>
        <v>-1164.75</v>
      </c>
    </row>
    <row r="18" spans="1:30" x14ac:dyDescent="0.3">
      <c r="A18" s="375" t="s">
        <v>517</v>
      </c>
      <c r="B18" s="380"/>
      <c r="C18" s="377">
        <v>80</v>
      </c>
      <c r="D18" s="378">
        <v>65</v>
      </c>
      <c r="E18" s="378">
        <v>70</v>
      </c>
      <c r="F18" s="379"/>
      <c r="G18" s="380"/>
      <c r="H18" s="379"/>
      <c r="I18" s="380"/>
      <c r="J18" s="381">
        <v>120</v>
      </c>
      <c r="K18" s="382">
        <v>75</v>
      </c>
      <c r="L18" s="383"/>
      <c r="M18" s="384"/>
      <c r="N18" s="381">
        <v>65</v>
      </c>
      <c r="O18" s="382">
        <f>65*5</f>
        <v>325</v>
      </c>
      <c r="P18" s="379">
        <v>65</v>
      </c>
      <c r="Q18" s="380">
        <f>70*3</f>
        <v>210</v>
      </c>
      <c r="R18" s="379"/>
      <c r="S18" s="382">
        <v>70</v>
      </c>
      <c r="T18" s="379"/>
      <c r="U18" s="382"/>
      <c r="V18" s="379"/>
      <c r="W18" s="382"/>
      <c r="X18" s="379"/>
      <c r="Y18" s="382"/>
      <c r="Z18" s="379"/>
      <c r="AA18" s="380"/>
      <c r="AB18" s="379">
        <f t="shared" si="0"/>
        <v>315</v>
      </c>
      <c r="AC18" s="380">
        <f t="shared" si="0"/>
        <v>830</v>
      </c>
      <c r="AD18" s="385">
        <f t="shared" si="1"/>
        <v>515</v>
      </c>
    </row>
    <row r="19" spans="1:30" x14ac:dyDescent="0.3">
      <c r="A19" s="375" t="s">
        <v>518</v>
      </c>
      <c r="B19" s="380">
        <v>352</v>
      </c>
      <c r="C19" s="377">
        <v>400</v>
      </c>
      <c r="D19" s="378">
        <v>742.5</v>
      </c>
      <c r="E19" s="378">
        <v>1300</v>
      </c>
      <c r="F19" s="379"/>
      <c r="G19" s="380"/>
      <c r="H19" s="379"/>
      <c r="I19" s="380"/>
      <c r="J19" s="381">
        <v>2549</v>
      </c>
      <c r="K19" s="382">
        <v>2100</v>
      </c>
      <c r="L19" s="383"/>
      <c r="M19" s="384"/>
      <c r="N19" s="381">
        <f>800+1300+1000+946</f>
        <v>4046</v>
      </c>
      <c r="O19" s="382">
        <f>900*5</f>
        <v>4500</v>
      </c>
      <c r="P19" s="379">
        <f>599.4+877.5</f>
        <v>1476.9</v>
      </c>
      <c r="Q19" s="380">
        <f>750*3</f>
        <v>2250</v>
      </c>
      <c r="R19" s="379"/>
      <c r="S19" s="382">
        <v>500</v>
      </c>
      <c r="T19" s="379"/>
      <c r="U19" s="382"/>
      <c r="V19" s="379"/>
      <c r="W19" s="382"/>
      <c r="X19" s="379"/>
      <c r="Y19" s="382"/>
      <c r="Z19" s="379"/>
      <c r="AA19" s="380"/>
      <c r="AB19" s="379">
        <f t="shared" si="0"/>
        <v>9166.4</v>
      </c>
      <c r="AC19" s="380">
        <f t="shared" si="0"/>
        <v>11050</v>
      </c>
      <c r="AD19" s="385">
        <f t="shared" si="1"/>
        <v>1883.6000000000004</v>
      </c>
    </row>
    <row r="20" spans="1:30" x14ac:dyDescent="0.3">
      <c r="A20" s="375" t="s">
        <v>519</v>
      </c>
      <c r="B20" s="380"/>
      <c r="C20" s="377"/>
      <c r="D20" s="378"/>
      <c r="E20" s="378"/>
      <c r="F20" s="379"/>
      <c r="G20" s="380"/>
      <c r="H20" s="379"/>
      <c r="I20" s="380"/>
      <c r="J20" s="381">
        <v>800.95</v>
      </c>
      <c r="K20" s="382">
        <v>1000</v>
      </c>
      <c r="L20" s="383"/>
      <c r="M20" s="384"/>
      <c r="N20" s="381"/>
      <c r="O20" s="382"/>
      <c r="P20" s="379"/>
      <c r="Q20" s="380"/>
      <c r="R20" s="379"/>
      <c r="S20" s="382"/>
      <c r="T20" s="379"/>
      <c r="U20" s="382"/>
      <c r="V20" s="379"/>
      <c r="W20" s="382"/>
      <c r="X20" s="379"/>
      <c r="Y20" s="382"/>
      <c r="Z20" s="379"/>
      <c r="AA20" s="380"/>
      <c r="AB20" s="379">
        <f t="shared" si="0"/>
        <v>800.95</v>
      </c>
      <c r="AC20" s="380">
        <f t="shared" si="0"/>
        <v>1000</v>
      </c>
      <c r="AD20" s="385">
        <f t="shared" si="1"/>
        <v>199.04999999999995</v>
      </c>
    </row>
    <row r="21" spans="1:30" x14ac:dyDescent="0.3">
      <c r="A21" s="375" t="s">
        <v>520</v>
      </c>
      <c r="B21" s="380"/>
      <c r="C21" s="377">
        <v>500</v>
      </c>
      <c r="D21" s="378">
        <v>232.32</v>
      </c>
      <c r="E21" s="378">
        <v>300</v>
      </c>
      <c r="F21" s="379"/>
      <c r="G21" s="380"/>
      <c r="H21" s="379"/>
      <c r="I21" s="380"/>
      <c r="J21" s="381">
        <v>106.24</v>
      </c>
      <c r="K21" s="382">
        <v>100</v>
      </c>
      <c r="L21" s="383"/>
      <c r="M21" s="384"/>
      <c r="N21" s="381"/>
      <c r="O21" s="382"/>
      <c r="P21" s="379"/>
      <c r="Q21" s="380">
        <v>400</v>
      </c>
      <c r="R21" s="379"/>
      <c r="S21" s="382"/>
      <c r="T21" s="379"/>
      <c r="U21" s="382"/>
      <c r="V21" s="379"/>
      <c r="W21" s="382"/>
      <c r="X21" s="379"/>
      <c r="Y21" s="382"/>
      <c r="Z21" s="379"/>
      <c r="AA21" s="380"/>
      <c r="AB21" s="379">
        <f t="shared" si="0"/>
        <v>338.56</v>
      </c>
      <c r="AC21" s="380">
        <f t="shared" si="0"/>
        <v>1300</v>
      </c>
      <c r="AD21" s="385">
        <f t="shared" si="1"/>
        <v>961.44</v>
      </c>
    </row>
    <row r="22" spans="1:30" x14ac:dyDescent="0.3">
      <c r="A22" s="375" t="s">
        <v>521</v>
      </c>
      <c r="B22" s="380">
        <v>749.99</v>
      </c>
      <c r="C22" s="377">
        <v>700</v>
      </c>
      <c r="D22" s="378">
        <v>660</v>
      </c>
      <c r="E22" s="378">
        <v>1100</v>
      </c>
      <c r="F22" s="379"/>
      <c r="G22" s="380"/>
      <c r="H22" s="379"/>
      <c r="I22" s="380"/>
      <c r="J22" s="381">
        <v>1500</v>
      </c>
      <c r="K22" s="382">
        <v>750</v>
      </c>
      <c r="L22" s="383"/>
      <c r="M22" s="384"/>
      <c r="N22" s="381">
        <f>1000+1000+1000+700</f>
        <v>3700</v>
      </c>
      <c r="O22" s="382">
        <f>900*5</f>
        <v>4500</v>
      </c>
      <c r="P22" s="379">
        <f>500+600</f>
        <v>1100</v>
      </c>
      <c r="Q22" s="380">
        <f>600*4</f>
        <v>2400</v>
      </c>
      <c r="R22" s="379"/>
      <c r="S22" s="382">
        <v>500</v>
      </c>
      <c r="T22" s="379"/>
      <c r="U22" s="382"/>
      <c r="V22" s="379"/>
      <c r="W22" s="382"/>
      <c r="X22" s="379"/>
      <c r="Y22" s="382"/>
      <c r="Z22" s="379"/>
      <c r="AA22" s="380"/>
      <c r="AB22" s="379">
        <f t="shared" si="0"/>
        <v>7709.99</v>
      </c>
      <c r="AC22" s="380">
        <f t="shared" si="0"/>
        <v>9950</v>
      </c>
      <c r="AD22" s="385">
        <f t="shared" si="1"/>
        <v>2240.0100000000002</v>
      </c>
    </row>
    <row r="23" spans="1:30" x14ac:dyDescent="0.3">
      <c r="A23" s="375" t="s">
        <v>522</v>
      </c>
      <c r="B23" s="380"/>
      <c r="C23" s="377"/>
      <c r="D23" s="378"/>
      <c r="E23" s="378"/>
      <c r="F23" s="379"/>
      <c r="G23" s="380"/>
      <c r="H23" s="379"/>
      <c r="I23" s="380"/>
      <c r="J23" s="381"/>
      <c r="K23" s="382"/>
      <c r="L23" s="383"/>
      <c r="M23" s="384"/>
      <c r="N23" s="381">
        <v>500</v>
      </c>
      <c r="O23" s="382"/>
      <c r="P23" s="379"/>
      <c r="Q23" s="380"/>
      <c r="R23" s="379"/>
      <c r="S23" s="382"/>
      <c r="T23" s="379"/>
      <c r="U23" s="382"/>
      <c r="V23" s="379"/>
      <c r="W23" s="382"/>
      <c r="X23" s="379"/>
      <c r="Y23" s="382"/>
      <c r="Z23" s="379"/>
      <c r="AA23" s="380"/>
      <c r="AB23" s="379">
        <f t="shared" si="0"/>
        <v>500</v>
      </c>
      <c r="AC23" s="380">
        <f t="shared" si="0"/>
        <v>0</v>
      </c>
      <c r="AD23" s="385">
        <f t="shared" si="1"/>
        <v>-500</v>
      </c>
    </row>
    <row r="24" spans="1:30" x14ac:dyDescent="0.3">
      <c r="A24" s="375" t="s">
        <v>523</v>
      </c>
      <c r="B24" s="380"/>
      <c r="C24" s="377">
        <v>250</v>
      </c>
      <c r="D24" s="378">
        <v>61</v>
      </c>
      <c r="E24" s="378">
        <v>100</v>
      </c>
      <c r="F24" s="379"/>
      <c r="G24" s="380"/>
      <c r="H24" s="379"/>
      <c r="I24" s="380"/>
      <c r="J24" s="381">
        <v>133.1</v>
      </c>
      <c r="K24" s="382">
        <v>150</v>
      </c>
      <c r="L24" s="383"/>
      <c r="M24" s="384"/>
      <c r="N24" s="381"/>
      <c r="O24" s="382"/>
      <c r="P24" s="379"/>
      <c r="Q24" s="380"/>
      <c r="R24" s="379"/>
      <c r="S24" s="382"/>
      <c r="T24" s="379"/>
      <c r="U24" s="382"/>
      <c r="V24" s="379"/>
      <c r="W24" s="382"/>
      <c r="X24" s="379"/>
      <c r="Y24" s="382"/>
      <c r="Z24" s="379"/>
      <c r="AA24" s="380"/>
      <c r="AB24" s="379">
        <f t="shared" si="0"/>
        <v>194.1</v>
      </c>
      <c r="AC24" s="380">
        <f t="shared" si="0"/>
        <v>500</v>
      </c>
      <c r="AD24" s="385">
        <f t="shared" si="1"/>
        <v>305.89999999999998</v>
      </c>
    </row>
    <row r="25" spans="1:30" x14ac:dyDescent="0.3">
      <c r="A25" s="375" t="s">
        <v>524</v>
      </c>
      <c r="B25" s="380"/>
      <c r="C25" s="377">
        <v>900</v>
      </c>
      <c r="D25" s="378"/>
      <c r="E25" s="378"/>
      <c r="F25" s="379"/>
      <c r="G25" s="380"/>
      <c r="H25" s="379"/>
      <c r="I25" s="380"/>
      <c r="J25" s="381"/>
      <c r="K25" s="382"/>
      <c r="L25" s="383"/>
      <c r="M25" s="384"/>
      <c r="N25" s="381">
        <f>604.5+908.4+604.5+604.5+604.5+150</f>
        <v>3476.4</v>
      </c>
      <c r="O25" s="382">
        <f>700*5</f>
        <v>3500</v>
      </c>
      <c r="P25" s="379">
        <f>505.01</f>
        <v>505.01</v>
      </c>
      <c r="Q25" s="380">
        <v>500</v>
      </c>
      <c r="R25" s="379"/>
      <c r="S25" s="382">
        <v>505</v>
      </c>
      <c r="T25" s="379"/>
      <c r="U25" s="382"/>
      <c r="V25" s="379"/>
      <c r="W25" s="382"/>
      <c r="X25" s="379"/>
      <c r="Y25" s="382"/>
      <c r="Z25" s="379"/>
      <c r="AA25" s="380"/>
      <c r="AB25" s="379">
        <f t="shared" si="0"/>
        <v>3981.41</v>
      </c>
      <c r="AC25" s="380">
        <f t="shared" si="0"/>
        <v>5405</v>
      </c>
      <c r="AD25" s="385">
        <f t="shared" si="1"/>
        <v>1423.5900000000001</v>
      </c>
    </row>
    <row r="26" spans="1:30" x14ac:dyDescent="0.3">
      <c r="A26" s="375" t="s">
        <v>525</v>
      </c>
      <c r="B26" s="380">
        <v>1500</v>
      </c>
      <c r="C26" s="377">
        <v>2500</v>
      </c>
      <c r="D26" s="378">
        <f>650+392+21.6+360.92</f>
        <v>1424.52</v>
      </c>
      <c r="E26" s="378">
        <v>1400</v>
      </c>
      <c r="F26" s="379">
        <v>263</v>
      </c>
      <c r="G26" s="380">
        <v>300</v>
      </c>
      <c r="H26" s="379"/>
      <c r="I26" s="380"/>
      <c r="J26" s="381">
        <f>193.6+574.5</f>
        <v>768.1</v>
      </c>
      <c r="K26" s="382">
        <v>650</v>
      </c>
      <c r="L26" s="383">
        <v>1857</v>
      </c>
      <c r="M26" s="384">
        <v>3500</v>
      </c>
      <c r="N26" s="381">
        <f>465.53+245.5+350+290+450+450+276.6+318.5+181.9</f>
        <v>3028.0299999999997</v>
      </c>
      <c r="O26" s="382">
        <f>450*5</f>
        <v>2250</v>
      </c>
      <c r="P26" s="379">
        <f>37.68+175.92+372.83+8.6+268+412.74+318.59+66.9+412.76+239.9+135.5</f>
        <v>2449.42</v>
      </c>
      <c r="Q26" s="380">
        <f>400*4</f>
        <v>1600</v>
      </c>
      <c r="R26" s="379"/>
      <c r="S26" s="382">
        <v>250</v>
      </c>
      <c r="T26" s="379"/>
      <c r="U26" s="382"/>
      <c r="V26" s="379">
        <v>2084</v>
      </c>
      <c r="W26" s="382"/>
      <c r="X26" s="379"/>
      <c r="Y26" s="382">
        <v>1000</v>
      </c>
      <c r="Z26" s="379"/>
      <c r="AA26" s="380"/>
      <c r="AB26" s="379">
        <f t="shared" si="0"/>
        <v>13374.07</v>
      </c>
      <c r="AC26" s="380">
        <f t="shared" si="0"/>
        <v>13450</v>
      </c>
      <c r="AD26" s="385">
        <f t="shared" si="1"/>
        <v>75.930000000000291</v>
      </c>
    </row>
    <row r="27" spans="1:30" x14ac:dyDescent="0.3">
      <c r="A27" s="375" t="s">
        <v>526</v>
      </c>
      <c r="B27" s="380"/>
      <c r="C27" s="377"/>
      <c r="D27" s="378"/>
      <c r="E27" s="378"/>
      <c r="F27" s="379"/>
      <c r="G27" s="380"/>
      <c r="H27" s="379"/>
      <c r="I27" s="380"/>
      <c r="J27" s="381"/>
      <c r="K27" s="382"/>
      <c r="L27" s="383"/>
      <c r="M27" s="384"/>
      <c r="N27" s="381"/>
      <c r="O27" s="382"/>
      <c r="P27" s="379"/>
      <c r="Q27" s="380"/>
      <c r="R27" s="379"/>
      <c r="S27" s="382"/>
      <c r="T27" s="379">
        <v>2500</v>
      </c>
      <c r="U27" s="382">
        <v>1500</v>
      </c>
      <c r="V27" s="379"/>
      <c r="W27" s="382"/>
      <c r="X27" s="379"/>
      <c r="Y27" s="382"/>
      <c r="Z27" s="379"/>
      <c r="AA27" s="380"/>
      <c r="AB27" s="379">
        <f t="shared" si="0"/>
        <v>2500</v>
      </c>
      <c r="AC27" s="380">
        <f t="shared" si="0"/>
        <v>1500</v>
      </c>
      <c r="AD27" s="385">
        <f t="shared" si="1"/>
        <v>-1000</v>
      </c>
    </row>
    <row r="28" spans="1:30" x14ac:dyDescent="0.3">
      <c r="A28" s="375" t="s">
        <v>527</v>
      </c>
      <c r="B28" s="380"/>
      <c r="C28" s="377"/>
      <c r="D28" s="378"/>
      <c r="E28" s="378"/>
      <c r="F28" s="379"/>
      <c r="G28" s="380"/>
      <c r="H28" s="379"/>
      <c r="I28" s="380"/>
      <c r="J28" s="381">
        <v>1710</v>
      </c>
      <c r="K28" s="382"/>
      <c r="L28" s="383"/>
      <c r="M28" s="384"/>
      <c r="N28" s="381">
        <v>1000</v>
      </c>
      <c r="O28" s="382"/>
      <c r="P28" s="379">
        <v>282.39</v>
      </c>
      <c r="Q28" s="380"/>
      <c r="R28" s="379"/>
      <c r="S28" s="382"/>
      <c r="T28" s="379"/>
      <c r="U28" s="382"/>
      <c r="V28" s="379"/>
      <c r="W28" s="382"/>
      <c r="X28" s="379"/>
      <c r="Y28" s="382"/>
      <c r="Z28" s="379"/>
      <c r="AA28" s="380"/>
      <c r="AB28" s="379">
        <f t="shared" si="0"/>
        <v>2992.39</v>
      </c>
      <c r="AC28" s="380">
        <f t="shared" si="0"/>
        <v>0</v>
      </c>
      <c r="AD28" s="385">
        <f t="shared" si="1"/>
        <v>-2992.39</v>
      </c>
    </row>
    <row r="29" spans="1:30" x14ac:dyDescent="0.3">
      <c r="A29" s="375" t="s">
        <v>528</v>
      </c>
      <c r="B29" s="380">
        <v>330</v>
      </c>
      <c r="C29" s="377">
        <v>600</v>
      </c>
      <c r="D29" s="378">
        <v>660</v>
      </c>
      <c r="E29" s="378">
        <v>640</v>
      </c>
      <c r="F29" s="379"/>
      <c r="G29" s="380"/>
      <c r="H29" s="379"/>
      <c r="I29" s="380"/>
      <c r="J29" s="381">
        <v>266.2</v>
      </c>
      <c r="K29" s="382"/>
      <c r="L29" s="383"/>
      <c r="M29" s="384"/>
      <c r="N29" s="381"/>
      <c r="O29" s="382"/>
      <c r="P29" s="379"/>
      <c r="Q29" s="380"/>
      <c r="R29" s="379"/>
      <c r="S29" s="382"/>
      <c r="T29" s="379"/>
      <c r="U29" s="382"/>
      <c r="V29" s="379"/>
      <c r="W29" s="382"/>
      <c r="X29" s="379"/>
      <c r="Y29" s="382"/>
      <c r="Z29" s="379"/>
      <c r="AA29" s="380"/>
      <c r="AB29" s="379">
        <f t="shared" si="0"/>
        <v>1256.2</v>
      </c>
      <c r="AC29" s="380">
        <f t="shared" si="0"/>
        <v>1240</v>
      </c>
      <c r="AD29" s="385">
        <f t="shared" si="1"/>
        <v>-16.200000000000045</v>
      </c>
    </row>
    <row r="30" spans="1:30" x14ac:dyDescent="0.3">
      <c r="A30" s="375" t="s">
        <v>529</v>
      </c>
      <c r="B30" s="380"/>
      <c r="C30" s="377">
        <v>250</v>
      </c>
      <c r="D30" s="378">
        <v>250</v>
      </c>
      <c r="E30" s="378">
        <v>300</v>
      </c>
      <c r="F30" s="379"/>
      <c r="G30" s="380"/>
      <c r="H30" s="379"/>
      <c r="I30" s="380"/>
      <c r="J30" s="381">
        <v>305.39</v>
      </c>
      <c r="K30" s="382">
        <v>300</v>
      </c>
      <c r="L30" s="383"/>
      <c r="M30" s="384"/>
      <c r="N30" s="381"/>
      <c r="O30" s="382">
        <f>150*5</f>
        <v>750</v>
      </c>
      <c r="P30" s="379">
        <v>47.84</v>
      </c>
      <c r="Q30" s="380">
        <v>350</v>
      </c>
      <c r="R30" s="379"/>
      <c r="S30" s="382">
        <v>150</v>
      </c>
      <c r="T30" s="379"/>
      <c r="U30" s="382"/>
      <c r="V30" s="379"/>
      <c r="W30" s="382"/>
      <c r="X30" s="379"/>
      <c r="Y30" s="382"/>
      <c r="Z30" s="379"/>
      <c r="AA30" s="380"/>
      <c r="AB30" s="379">
        <f t="shared" si="0"/>
        <v>603.23</v>
      </c>
      <c r="AC30" s="380">
        <f t="shared" si="0"/>
        <v>2100</v>
      </c>
      <c r="AD30" s="385">
        <f t="shared" si="1"/>
        <v>1496.77</v>
      </c>
    </row>
    <row r="31" spans="1:30" x14ac:dyDescent="0.3">
      <c r="A31" s="375" t="s">
        <v>530</v>
      </c>
      <c r="B31" s="380">
        <v>115</v>
      </c>
      <c r="C31" s="377">
        <v>200</v>
      </c>
      <c r="D31" s="378">
        <f>154+369.05</f>
        <v>523.04999999999995</v>
      </c>
      <c r="E31" s="378">
        <v>600</v>
      </c>
      <c r="F31" s="379"/>
      <c r="G31" s="380"/>
      <c r="H31" s="379"/>
      <c r="I31" s="380"/>
      <c r="J31" s="381">
        <f>120+121+27.5+338+42.8+210</f>
        <v>859.3</v>
      </c>
      <c r="K31" s="382">
        <v>600</v>
      </c>
      <c r="L31" s="383"/>
      <c r="M31" s="384"/>
      <c r="N31" s="381">
        <f>348+49+26.15+22.6+369.05+157.3+121</f>
        <v>1093.0999999999999</v>
      </c>
      <c r="O31" s="382">
        <f>200*5</f>
        <v>1000</v>
      </c>
      <c r="P31" s="379">
        <f>258.29+375.1+210+119.51+55.49+36.75</f>
        <v>1055.1400000000001</v>
      </c>
      <c r="Q31" s="380">
        <v>1000</v>
      </c>
      <c r="R31" s="379"/>
      <c r="S31" s="382">
        <v>200</v>
      </c>
      <c r="T31" s="379"/>
      <c r="U31" s="382"/>
      <c r="V31" s="379">
        <v>866.84</v>
      </c>
      <c r="W31" s="382">
        <v>1900</v>
      </c>
      <c r="X31" s="379"/>
      <c r="Y31" s="382"/>
      <c r="Z31" s="379"/>
      <c r="AA31" s="380"/>
      <c r="AB31" s="379">
        <f t="shared" si="0"/>
        <v>4512.43</v>
      </c>
      <c r="AC31" s="380">
        <f t="shared" si="0"/>
        <v>5500</v>
      </c>
      <c r="AD31" s="385">
        <f t="shared" si="1"/>
        <v>987.56999999999971</v>
      </c>
    </row>
    <row r="32" spans="1:30" x14ac:dyDescent="0.3">
      <c r="A32" s="375" t="s">
        <v>531</v>
      </c>
      <c r="B32" s="380"/>
      <c r="C32" s="377"/>
      <c r="D32" s="378"/>
      <c r="E32" s="378"/>
      <c r="F32" s="379"/>
      <c r="G32" s="380"/>
      <c r="H32" s="379"/>
      <c r="I32" s="380"/>
      <c r="J32" s="381"/>
      <c r="K32" s="382"/>
      <c r="L32" s="383">
        <v>1000</v>
      </c>
      <c r="M32" s="384">
        <v>1100</v>
      </c>
      <c r="N32" s="381"/>
      <c r="O32" s="382"/>
      <c r="P32" s="379"/>
      <c r="Q32" s="380"/>
      <c r="R32" s="379"/>
      <c r="S32" s="382"/>
      <c r="T32" s="379"/>
      <c r="U32" s="382"/>
      <c r="V32" s="379"/>
      <c r="W32" s="382"/>
      <c r="X32" s="379"/>
      <c r="Y32" s="382"/>
      <c r="Z32" s="379"/>
      <c r="AA32" s="380"/>
      <c r="AB32" s="379">
        <f t="shared" si="0"/>
        <v>1000</v>
      </c>
      <c r="AC32" s="380">
        <f t="shared" si="0"/>
        <v>1100</v>
      </c>
      <c r="AD32" s="385">
        <f t="shared" si="1"/>
        <v>100</v>
      </c>
    </row>
    <row r="33" spans="1:50" x14ac:dyDescent="0.3">
      <c r="A33" s="375" t="s">
        <v>532</v>
      </c>
      <c r="B33" s="380">
        <v>250</v>
      </c>
      <c r="C33" s="377">
        <v>250</v>
      </c>
      <c r="D33" s="378">
        <v>200</v>
      </c>
      <c r="E33" s="378">
        <v>350</v>
      </c>
      <c r="F33" s="379"/>
      <c r="G33" s="380"/>
      <c r="H33" s="379"/>
      <c r="I33" s="380"/>
      <c r="J33" s="381"/>
      <c r="K33" s="382"/>
      <c r="L33" s="383"/>
      <c r="M33" s="384"/>
      <c r="N33" s="381"/>
      <c r="O33" s="382">
        <f>200*5</f>
        <v>1000</v>
      </c>
      <c r="P33" s="379"/>
      <c r="Q33" s="380">
        <v>400</v>
      </c>
      <c r="R33" s="379"/>
      <c r="S33" s="382">
        <v>100</v>
      </c>
      <c r="T33" s="379"/>
      <c r="U33" s="382"/>
      <c r="V33" s="379"/>
      <c r="W33" s="382"/>
      <c r="X33" s="379"/>
      <c r="Y33" s="382"/>
      <c r="Z33" s="379"/>
      <c r="AA33" s="380"/>
      <c r="AB33" s="379">
        <f t="shared" si="0"/>
        <v>450</v>
      </c>
      <c r="AC33" s="380">
        <f t="shared" si="0"/>
        <v>2100</v>
      </c>
      <c r="AD33" s="385">
        <f t="shared" si="1"/>
        <v>1650</v>
      </c>
    </row>
    <row r="34" spans="1:50" x14ac:dyDescent="0.3">
      <c r="A34" s="375" t="s">
        <v>533</v>
      </c>
      <c r="B34" s="380">
        <v>150</v>
      </c>
      <c r="C34" s="377"/>
      <c r="D34" s="378"/>
      <c r="E34" s="378"/>
      <c r="F34" s="379"/>
      <c r="G34" s="380"/>
      <c r="H34" s="379"/>
      <c r="I34" s="380"/>
      <c r="J34" s="381">
        <f>150+130</f>
        <v>280</v>
      </c>
      <c r="K34" s="382">
        <v>100</v>
      </c>
      <c r="L34" s="383"/>
      <c r="M34" s="384"/>
      <c r="N34" s="381"/>
      <c r="O34" s="382"/>
      <c r="P34" s="379">
        <v>56</v>
      </c>
      <c r="Q34" s="380">
        <v>60</v>
      </c>
      <c r="R34" s="379"/>
      <c r="S34" s="382"/>
      <c r="T34" s="379"/>
      <c r="U34" s="382"/>
      <c r="V34" s="379"/>
      <c r="W34" s="382"/>
      <c r="X34" s="379"/>
      <c r="Y34" s="382"/>
      <c r="Z34" s="379"/>
      <c r="AA34" s="380"/>
      <c r="AB34" s="379">
        <f t="shared" si="0"/>
        <v>486</v>
      </c>
      <c r="AC34" s="380">
        <f t="shared" si="0"/>
        <v>160</v>
      </c>
      <c r="AD34" s="385">
        <f t="shared" si="1"/>
        <v>-326</v>
      </c>
    </row>
    <row r="35" spans="1:50" x14ac:dyDescent="0.3">
      <c r="A35" s="375" t="s">
        <v>534</v>
      </c>
      <c r="B35" s="380"/>
      <c r="C35" s="377">
        <v>100</v>
      </c>
      <c r="D35" s="378">
        <v>189</v>
      </c>
      <c r="E35" s="378">
        <v>300</v>
      </c>
      <c r="F35" s="379"/>
      <c r="G35" s="380"/>
      <c r="H35" s="379"/>
      <c r="I35" s="380"/>
      <c r="J35" s="381"/>
      <c r="K35" s="382">
        <v>130</v>
      </c>
      <c r="L35" s="383"/>
      <c r="M35" s="384"/>
      <c r="N35" s="381">
        <v>121</v>
      </c>
      <c r="O35" s="382">
        <f>100*5</f>
        <v>500</v>
      </c>
      <c r="P35" s="379">
        <v>177.51</v>
      </c>
      <c r="Q35" s="380">
        <v>300</v>
      </c>
      <c r="R35" s="379"/>
      <c r="S35" s="382">
        <v>60</v>
      </c>
      <c r="T35" s="379"/>
      <c r="U35" s="382"/>
      <c r="V35" s="379">
        <v>5388</v>
      </c>
      <c r="W35" s="382">
        <v>5500</v>
      </c>
      <c r="X35" s="379"/>
      <c r="Y35" s="382"/>
      <c r="Z35" s="379"/>
      <c r="AA35" s="380"/>
      <c r="AB35" s="379">
        <f t="shared" si="0"/>
        <v>5875.51</v>
      </c>
      <c r="AC35" s="380">
        <f t="shared" si="0"/>
        <v>6890</v>
      </c>
      <c r="AD35" s="385">
        <f t="shared" si="1"/>
        <v>1014.4899999999998</v>
      </c>
    </row>
    <row r="36" spans="1:50" x14ac:dyDescent="0.3">
      <c r="A36" s="375" t="s">
        <v>535</v>
      </c>
      <c r="B36" s="380"/>
      <c r="C36" s="377">
        <v>100</v>
      </c>
      <c r="D36" s="378">
        <v>100</v>
      </c>
      <c r="E36" s="378">
        <v>150</v>
      </c>
      <c r="F36" s="379"/>
      <c r="G36" s="380"/>
      <c r="H36" s="379"/>
      <c r="I36" s="380"/>
      <c r="J36" s="381"/>
      <c r="K36" s="382">
        <v>100</v>
      </c>
      <c r="L36" s="383"/>
      <c r="M36" s="384"/>
      <c r="N36" s="381">
        <f>90+90+100</f>
        <v>280</v>
      </c>
      <c r="O36" s="382">
        <f>90*5</f>
        <v>450</v>
      </c>
      <c r="P36" s="379"/>
      <c r="Q36" s="380"/>
      <c r="R36" s="379"/>
      <c r="S36" s="382">
        <v>90</v>
      </c>
      <c r="T36" s="379"/>
      <c r="U36" s="382"/>
      <c r="V36" s="379"/>
      <c r="W36" s="382"/>
      <c r="X36" s="379"/>
      <c r="Y36" s="382"/>
      <c r="Z36" s="379"/>
      <c r="AA36" s="380"/>
      <c r="AB36" s="379">
        <f t="shared" si="0"/>
        <v>380</v>
      </c>
      <c r="AC36" s="380">
        <f t="shared" si="0"/>
        <v>890</v>
      </c>
      <c r="AD36" s="385">
        <f t="shared" si="1"/>
        <v>510</v>
      </c>
    </row>
    <row r="37" spans="1:50" x14ac:dyDescent="0.3">
      <c r="A37" s="375" t="s">
        <v>536</v>
      </c>
      <c r="B37" s="380"/>
      <c r="C37" s="377">
        <v>250</v>
      </c>
      <c r="D37" s="378">
        <v>549.26</v>
      </c>
      <c r="E37" s="378">
        <v>549</v>
      </c>
      <c r="F37" s="379"/>
      <c r="G37" s="380"/>
      <c r="H37" s="379"/>
      <c r="I37" s="380"/>
      <c r="J37" s="381"/>
      <c r="K37" s="382"/>
      <c r="L37" s="383"/>
      <c r="M37" s="384"/>
      <c r="N37" s="381"/>
      <c r="O37" s="382"/>
      <c r="P37" s="379">
        <f>420+360</f>
        <v>780</v>
      </c>
      <c r="Q37" s="380"/>
      <c r="R37" s="379"/>
      <c r="S37" s="382"/>
      <c r="T37" s="379"/>
      <c r="U37" s="382"/>
      <c r="V37" s="379"/>
      <c r="W37" s="382"/>
      <c r="X37" s="379"/>
      <c r="Y37" s="382"/>
      <c r="Z37" s="379"/>
      <c r="AA37" s="380"/>
      <c r="AB37" s="379">
        <f t="shared" si="0"/>
        <v>1329.26</v>
      </c>
      <c r="AC37" s="380">
        <f t="shared" si="0"/>
        <v>799</v>
      </c>
      <c r="AD37" s="385">
        <f t="shared" si="1"/>
        <v>-530.26</v>
      </c>
    </row>
    <row r="38" spans="1:50" x14ac:dyDescent="0.3">
      <c r="A38" s="375" t="s">
        <v>537</v>
      </c>
      <c r="B38" s="380"/>
      <c r="C38" s="377"/>
      <c r="D38" s="378">
        <f>495.58+250+435.19</f>
        <v>1180.77</v>
      </c>
      <c r="E38" s="378">
        <v>746</v>
      </c>
      <c r="F38" s="379"/>
      <c r="G38" s="380"/>
      <c r="H38" s="379"/>
      <c r="I38" s="380"/>
      <c r="J38" s="381"/>
      <c r="K38" s="382"/>
      <c r="L38" s="383"/>
      <c r="M38" s="384"/>
      <c r="N38" s="381"/>
      <c r="O38" s="382"/>
      <c r="P38" s="379"/>
      <c r="Q38" s="380">
        <f>400*4</f>
        <v>1600</v>
      </c>
      <c r="R38" s="379"/>
      <c r="S38" s="382">
        <v>300</v>
      </c>
      <c r="T38" s="379"/>
      <c r="U38" s="382"/>
      <c r="V38" s="379"/>
      <c r="W38" s="382"/>
      <c r="X38" s="379"/>
      <c r="Y38" s="382"/>
      <c r="Z38" s="379"/>
      <c r="AA38" s="380"/>
      <c r="AB38" s="379">
        <f t="shared" si="0"/>
        <v>1180.77</v>
      </c>
      <c r="AC38" s="380">
        <f t="shared" si="0"/>
        <v>2646</v>
      </c>
      <c r="AD38" s="385">
        <f t="shared" si="1"/>
        <v>1465.23</v>
      </c>
    </row>
    <row r="39" spans="1:50" x14ac:dyDescent="0.3">
      <c r="A39" s="375" t="s">
        <v>538</v>
      </c>
      <c r="B39" s="380"/>
      <c r="C39" s="377"/>
      <c r="D39" s="378"/>
      <c r="E39" s="378"/>
      <c r="F39" s="379"/>
      <c r="G39" s="380"/>
      <c r="H39" s="379"/>
      <c r="I39" s="380"/>
      <c r="J39" s="381"/>
      <c r="K39" s="382"/>
      <c r="L39" s="383"/>
      <c r="M39" s="384"/>
      <c r="N39" s="381"/>
      <c r="O39" s="382"/>
      <c r="P39" s="379"/>
      <c r="Q39" s="380"/>
      <c r="R39" s="379"/>
      <c r="S39" s="382"/>
      <c r="T39" s="379">
        <v>500</v>
      </c>
      <c r="U39" s="382">
        <f>855+500+175</f>
        <v>1530</v>
      </c>
      <c r="V39" s="379"/>
      <c r="W39" s="382"/>
      <c r="X39" s="379"/>
      <c r="Y39" s="382"/>
      <c r="Z39" s="379"/>
      <c r="AA39" s="380"/>
      <c r="AB39" s="379">
        <f t="shared" si="0"/>
        <v>500</v>
      </c>
      <c r="AC39" s="380">
        <f t="shared" si="0"/>
        <v>1530</v>
      </c>
      <c r="AD39" s="385">
        <f t="shared" si="1"/>
        <v>1030</v>
      </c>
    </row>
    <row r="40" spans="1:50" x14ac:dyDescent="0.3">
      <c r="A40" s="375" t="s">
        <v>539</v>
      </c>
      <c r="B40" s="380">
        <v>420</v>
      </c>
      <c r="C40" s="377">
        <v>200</v>
      </c>
      <c r="D40" s="378"/>
      <c r="E40" s="378">
        <v>400</v>
      </c>
      <c r="F40" s="379"/>
      <c r="G40" s="380"/>
      <c r="H40" s="379"/>
      <c r="I40" s="380"/>
      <c r="J40" s="381">
        <v>2722.34</v>
      </c>
      <c r="K40" s="382">
        <v>3000</v>
      </c>
      <c r="L40" s="383"/>
      <c r="M40" s="384"/>
      <c r="N40" s="381">
        <f>181+60.5+864.87+532.63+1098+532.63+1144.87+1318+532.63+1636.87+1356+150+653.3+532.63+257.87+1005</f>
        <v>11856.8</v>
      </c>
      <c r="O40" s="382">
        <f>3000*5</f>
        <v>15000</v>
      </c>
      <c r="P40" s="379">
        <v>822</v>
      </c>
      <c r="Q40" s="380">
        <v>2500</v>
      </c>
      <c r="R40" s="379"/>
      <c r="S40" s="382">
        <v>100</v>
      </c>
      <c r="T40" s="379"/>
      <c r="U40" s="382"/>
      <c r="V40" s="379">
        <v>200</v>
      </c>
      <c r="W40" s="382">
        <v>400</v>
      </c>
      <c r="X40" s="379"/>
      <c r="Y40" s="382"/>
      <c r="Z40" s="379"/>
      <c r="AA40" s="380"/>
      <c r="AB40" s="379">
        <f t="shared" si="0"/>
        <v>16021.14</v>
      </c>
      <c r="AC40" s="380">
        <f t="shared" si="0"/>
        <v>21600</v>
      </c>
      <c r="AD40" s="385">
        <f t="shared" si="1"/>
        <v>5578.8600000000006</v>
      </c>
    </row>
    <row r="41" spans="1:50" x14ac:dyDescent="0.3">
      <c r="A41" s="375" t="s">
        <v>540</v>
      </c>
      <c r="B41" s="380">
        <v>300</v>
      </c>
      <c r="C41" s="377">
        <v>500</v>
      </c>
      <c r="D41" s="378">
        <v>400</v>
      </c>
      <c r="E41" s="378">
        <v>800</v>
      </c>
      <c r="F41" s="379"/>
      <c r="G41" s="380"/>
      <c r="H41" s="379"/>
      <c r="I41" s="380"/>
      <c r="J41" s="381">
        <v>500</v>
      </c>
      <c r="K41" s="382">
        <v>500</v>
      </c>
      <c r="L41" s="383"/>
      <c r="M41" s="384"/>
      <c r="N41" s="381">
        <f>600+450+600+600+450</f>
        <v>2700</v>
      </c>
      <c r="O41" s="382">
        <f>600*5</f>
        <v>3000</v>
      </c>
      <c r="P41" s="379">
        <f>120+150</f>
        <v>270</v>
      </c>
      <c r="Q41" s="380">
        <v>950</v>
      </c>
      <c r="R41" s="379"/>
      <c r="S41" s="382">
        <v>100</v>
      </c>
      <c r="T41" s="379"/>
      <c r="U41" s="382"/>
      <c r="V41" s="379">
        <v>1500</v>
      </c>
      <c r="W41" s="382">
        <v>1700</v>
      </c>
      <c r="X41" s="379"/>
      <c r="Y41" s="382"/>
      <c r="Z41" s="379"/>
      <c r="AA41" s="380"/>
      <c r="AB41" s="379">
        <f t="shared" si="0"/>
        <v>5670</v>
      </c>
      <c r="AC41" s="380">
        <f t="shared" si="0"/>
        <v>7550</v>
      </c>
      <c r="AD41" s="385">
        <f t="shared" si="1"/>
        <v>1880</v>
      </c>
    </row>
    <row r="42" spans="1:50" x14ac:dyDescent="0.3">
      <c r="A42" s="375" t="s">
        <v>541</v>
      </c>
      <c r="B42" s="380">
        <v>363</v>
      </c>
      <c r="C42" s="377">
        <v>400</v>
      </c>
      <c r="D42" s="378">
        <v>363</v>
      </c>
      <c r="E42" s="378">
        <v>500</v>
      </c>
      <c r="F42" s="379"/>
      <c r="G42" s="380"/>
      <c r="H42" s="379"/>
      <c r="I42" s="380"/>
      <c r="J42" s="381">
        <v>400</v>
      </c>
      <c r="K42" s="382">
        <v>300</v>
      </c>
      <c r="L42" s="383"/>
      <c r="M42" s="384"/>
      <c r="N42" s="381">
        <f>363+363+363+363+363</f>
        <v>1815</v>
      </c>
      <c r="O42" s="382">
        <f>400*5</f>
        <v>2000</v>
      </c>
      <c r="P42" s="379">
        <f>200+230</f>
        <v>430</v>
      </c>
      <c r="Q42" s="380">
        <f>800</f>
        <v>800</v>
      </c>
      <c r="R42" s="379"/>
      <c r="S42" s="382">
        <v>200</v>
      </c>
      <c r="T42" s="379"/>
      <c r="U42" s="382"/>
      <c r="V42" s="379"/>
      <c r="W42" s="382"/>
      <c r="X42" s="379"/>
      <c r="Y42" s="382"/>
      <c r="Z42" s="379"/>
      <c r="AA42" s="380"/>
      <c r="AB42" s="379">
        <f t="shared" si="0"/>
        <v>3371</v>
      </c>
      <c r="AC42" s="380">
        <f t="shared" si="0"/>
        <v>4200</v>
      </c>
      <c r="AD42" s="385">
        <f t="shared" si="1"/>
        <v>829</v>
      </c>
    </row>
    <row r="43" spans="1:50" x14ac:dyDescent="0.3">
      <c r="A43" s="375" t="s">
        <v>542</v>
      </c>
      <c r="B43" s="380">
        <v>686.88</v>
      </c>
      <c r="C43" s="377"/>
      <c r="D43" s="381">
        <v>600</v>
      </c>
      <c r="E43" s="378">
        <f>100+455+45</f>
        <v>600</v>
      </c>
      <c r="F43" s="379"/>
      <c r="G43" s="380"/>
      <c r="H43" s="379"/>
      <c r="I43" s="380"/>
      <c r="J43" s="381"/>
      <c r="K43" s="382"/>
      <c r="L43" s="383"/>
      <c r="M43" s="384"/>
      <c r="N43" s="381">
        <f>500+423+400+400</f>
        <v>1723</v>
      </c>
      <c r="O43" s="382">
        <f>400*5</f>
        <v>2000</v>
      </c>
      <c r="P43" s="379">
        <f>423.5+125+302.5</f>
        <v>851</v>
      </c>
      <c r="Q43" s="380">
        <v>1000</v>
      </c>
      <c r="R43" s="379"/>
      <c r="S43" s="382"/>
      <c r="T43" s="379"/>
      <c r="U43" s="382"/>
      <c r="V43" s="379">
        <v>1813</v>
      </c>
      <c r="W43" s="382">
        <v>2000</v>
      </c>
      <c r="X43" s="379"/>
      <c r="Y43" s="382"/>
      <c r="Z43" s="379"/>
      <c r="AA43" s="380"/>
      <c r="AB43" s="379">
        <f t="shared" si="0"/>
        <v>5673.88</v>
      </c>
      <c r="AC43" s="380">
        <f t="shared" si="0"/>
        <v>5600</v>
      </c>
      <c r="AD43" s="385">
        <f t="shared" si="1"/>
        <v>-73.880000000000109</v>
      </c>
    </row>
    <row r="44" spans="1:50" s="401" customFormat="1" x14ac:dyDescent="0.3">
      <c r="A44" s="390" t="s">
        <v>543</v>
      </c>
      <c r="B44" s="391">
        <f t="shared" ref="B44:AA44" si="2">SUM(B4:B43)</f>
        <v>21460.870000000003</v>
      </c>
      <c r="C44" s="391">
        <f t="shared" si="2"/>
        <v>24100</v>
      </c>
      <c r="D44" s="391">
        <f t="shared" si="2"/>
        <v>9670.42</v>
      </c>
      <c r="E44" s="392">
        <f t="shared" si="2"/>
        <v>12555</v>
      </c>
      <c r="F44" s="393">
        <f t="shared" si="2"/>
        <v>2163</v>
      </c>
      <c r="G44" s="394">
        <f t="shared" si="2"/>
        <v>2800</v>
      </c>
      <c r="H44" s="393">
        <f t="shared" si="2"/>
        <v>605</v>
      </c>
      <c r="I44" s="392">
        <f t="shared" si="2"/>
        <v>800</v>
      </c>
      <c r="J44" s="392">
        <f t="shared" si="2"/>
        <v>14384.619999999999</v>
      </c>
      <c r="K44" s="395">
        <f t="shared" si="2"/>
        <v>11455</v>
      </c>
      <c r="L44" s="396">
        <f t="shared" si="2"/>
        <v>5717</v>
      </c>
      <c r="M44" s="396">
        <f t="shared" si="2"/>
        <v>8300</v>
      </c>
      <c r="N44" s="396">
        <f t="shared" si="2"/>
        <v>35404.33</v>
      </c>
      <c r="O44" s="396">
        <f t="shared" si="2"/>
        <v>45375</v>
      </c>
      <c r="P44" s="396">
        <f t="shared" si="2"/>
        <v>13122.96</v>
      </c>
      <c r="Q44" s="397">
        <f t="shared" si="2"/>
        <v>20950</v>
      </c>
      <c r="R44" s="397">
        <f t="shared" si="2"/>
        <v>0</v>
      </c>
      <c r="S44" s="398">
        <f t="shared" si="2"/>
        <v>3695</v>
      </c>
      <c r="T44" s="398">
        <f t="shared" si="2"/>
        <v>3000</v>
      </c>
      <c r="U44" s="398">
        <f t="shared" si="2"/>
        <v>3030</v>
      </c>
      <c r="V44" s="398">
        <f t="shared" si="2"/>
        <v>11851.84</v>
      </c>
      <c r="W44" s="398">
        <f t="shared" si="2"/>
        <v>11500</v>
      </c>
      <c r="X44" s="398">
        <f t="shared" si="2"/>
        <v>0</v>
      </c>
      <c r="Y44" s="398">
        <f t="shared" si="2"/>
        <v>3000</v>
      </c>
      <c r="Z44" s="396">
        <f t="shared" si="2"/>
        <v>41260</v>
      </c>
      <c r="AA44" s="396">
        <f t="shared" si="2"/>
        <v>51260</v>
      </c>
      <c r="AB44" s="393">
        <f t="shared" si="0"/>
        <v>158640.04</v>
      </c>
      <c r="AC44" s="394">
        <f t="shared" si="0"/>
        <v>198820</v>
      </c>
      <c r="AD44" s="399">
        <f t="shared" si="1"/>
        <v>40179.959999999992</v>
      </c>
      <c r="AE44" s="400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</row>
    <row r="45" spans="1:50" s="374" customFormat="1" x14ac:dyDescent="0.3">
      <c r="A45" s="362" t="s">
        <v>544</v>
      </c>
      <c r="B45" s="367"/>
      <c r="C45" s="363"/>
      <c r="D45" s="367"/>
      <c r="E45" s="365"/>
      <c r="F45" s="366"/>
      <c r="G45" s="363"/>
      <c r="H45" s="366"/>
      <c r="I45" s="363"/>
      <c r="J45" s="367"/>
      <c r="K45" s="368"/>
      <c r="L45" s="369"/>
      <c r="M45" s="361"/>
      <c r="N45" s="367"/>
      <c r="O45" s="368"/>
      <c r="P45" s="366"/>
      <c r="Q45" s="363"/>
      <c r="R45" s="367"/>
      <c r="S45" s="368"/>
      <c r="T45" s="366"/>
      <c r="U45" s="368"/>
      <c r="V45" s="366"/>
      <c r="W45" s="368"/>
      <c r="X45" s="366"/>
      <c r="Y45" s="368"/>
      <c r="Z45" s="366"/>
      <c r="AA45" s="363"/>
      <c r="AB45" s="379"/>
      <c r="AC45" s="380"/>
      <c r="AD45" s="402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</row>
    <row r="46" spans="1:50" ht="14.5" x14ac:dyDescent="0.35">
      <c r="A46" s="403" t="s">
        <v>545</v>
      </c>
      <c r="B46" s="404">
        <v>1301</v>
      </c>
      <c r="C46" s="405">
        <v>1550</v>
      </c>
      <c r="D46" s="404">
        <f>818.15+450</f>
        <v>1268.1500000000001</v>
      </c>
      <c r="E46" s="406">
        <v>1700</v>
      </c>
      <c r="F46" s="407"/>
      <c r="G46" s="405"/>
      <c r="H46" s="407"/>
      <c r="I46" s="405"/>
      <c r="J46" s="404">
        <f>1472+1169</f>
        <v>2641</v>
      </c>
      <c r="K46" s="408">
        <v>2555</v>
      </c>
      <c r="L46" s="409"/>
      <c r="M46" s="410"/>
      <c r="N46" s="404">
        <f>1488+1671+840+949+700+1111+696+1369</f>
        <v>8824</v>
      </c>
      <c r="O46" s="408">
        <v>12000</v>
      </c>
      <c r="P46" s="407">
        <f>960+965+1010</f>
        <v>2935</v>
      </c>
      <c r="Q46" s="405">
        <v>4000</v>
      </c>
      <c r="R46" s="404"/>
      <c r="S46" s="408">
        <v>650</v>
      </c>
      <c r="T46" s="407"/>
      <c r="U46" s="408"/>
      <c r="V46" s="407"/>
      <c r="W46" s="408"/>
      <c r="X46" s="407"/>
      <c r="Y46" s="408"/>
      <c r="Z46" s="407"/>
      <c r="AA46" s="405"/>
      <c r="AB46" s="379">
        <f t="shared" ref="AB46:AC67" si="3">B46+D46+F46+H46+J46+L46+N46+P46+R46+T46+V46+X46+Z46</f>
        <v>16969.150000000001</v>
      </c>
      <c r="AC46" s="380">
        <f t="shared" si="3"/>
        <v>22455</v>
      </c>
      <c r="AD46" s="402">
        <f t="shared" ref="AD46:AD67" si="4">AC46-AB46</f>
        <v>5485.8499999999985</v>
      </c>
      <c r="AE46" s="400"/>
    </row>
    <row r="47" spans="1:50" ht="14.5" x14ac:dyDescent="0.35">
      <c r="A47" s="403" t="s">
        <v>546</v>
      </c>
      <c r="B47" s="404"/>
      <c r="C47" s="405">
        <v>21550</v>
      </c>
      <c r="D47" s="404"/>
      <c r="E47" s="406">
        <f>5000-145</f>
        <v>4855</v>
      </c>
      <c r="F47" s="407"/>
      <c r="G47" s="405">
        <v>2800</v>
      </c>
      <c r="H47" s="407"/>
      <c r="I47" s="405">
        <v>800</v>
      </c>
      <c r="J47" s="404"/>
      <c r="K47" s="408"/>
      <c r="L47" s="409"/>
      <c r="M47" s="410">
        <v>8300</v>
      </c>
      <c r="N47" s="404"/>
      <c r="O47" s="408"/>
      <c r="P47" s="407"/>
      <c r="Q47" s="405">
        <v>2750</v>
      </c>
      <c r="R47" s="404"/>
      <c r="S47" s="408">
        <v>1785</v>
      </c>
      <c r="T47" s="407">
        <v>2500</v>
      </c>
      <c r="U47" s="408">
        <v>3030</v>
      </c>
      <c r="V47" s="407">
        <v>11752</v>
      </c>
      <c r="W47" s="408">
        <v>11500</v>
      </c>
      <c r="X47" s="407"/>
      <c r="Y47" s="408">
        <v>3000</v>
      </c>
      <c r="Z47" s="407">
        <v>40000</v>
      </c>
      <c r="AA47" s="405">
        <v>50000</v>
      </c>
      <c r="AB47" s="379">
        <f t="shared" si="3"/>
        <v>54252</v>
      </c>
      <c r="AC47" s="380">
        <f t="shared" si="3"/>
        <v>110370</v>
      </c>
      <c r="AD47" s="402">
        <f t="shared" si="4"/>
        <v>56118</v>
      </c>
    </row>
    <row r="48" spans="1:50" ht="14.5" x14ac:dyDescent="0.35">
      <c r="A48" s="403" t="s">
        <v>547</v>
      </c>
      <c r="B48" s="404">
        <v>18522</v>
      </c>
      <c r="C48" s="405"/>
      <c r="D48" s="404">
        <v>2000</v>
      </c>
      <c r="E48" s="406"/>
      <c r="F48" s="407">
        <v>1900</v>
      </c>
      <c r="G48" s="405"/>
      <c r="H48" s="407">
        <v>605</v>
      </c>
      <c r="I48" s="405"/>
      <c r="J48" s="404"/>
      <c r="K48" s="408"/>
      <c r="L48" s="409">
        <v>5717</v>
      </c>
      <c r="M48" s="410"/>
      <c r="N48" s="404"/>
      <c r="O48" s="408"/>
      <c r="P48" s="407"/>
      <c r="Q48" s="405"/>
      <c r="R48" s="404"/>
      <c r="S48" s="408"/>
      <c r="T48" s="407"/>
      <c r="U48" s="408"/>
      <c r="V48" s="407"/>
      <c r="W48" s="408"/>
      <c r="X48" s="407"/>
      <c r="Y48" s="408"/>
      <c r="Z48" s="407"/>
      <c r="AA48" s="405"/>
      <c r="AB48" s="379">
        <f t="shared" si="3"/>
        <v>28744</v>
      </c>
      <c r="AC48" s="380">
        <f t="shared" si="3"/>
        <v>0</v>
      </c>
      <c r="AD48" s="402">
        <f t="shared" si="4"/>
        <v>-28744</v>
      </c>
    </row>
    <row r="49" spans="1:31" ht="14.5" x14ac:dyDescent="0.35">
      <c r="A49" s="411" t="s">
        <v>548</v>
      </c>
      <c r="B49" s="404"/>
      <c r="C49" s="405"/>
      <c r="D49" s="404">
        <v>3500</v>
      </c>
      <c r="E49" s="406">
        <v>3000</v>
      </c>
      <c r="F49" s="407"/>
      <c r="G49" s="405"/>
      <c r="H49" s="407"/>
      <c r="I49" s="405"/>
      <c r="J49" s="412"/>
      <c r="K49" s="413"/>
      <c r="L49" s="414"/>
      <c r="M49" s="415"/>
      <c r="N49" s="412"/>
      <c r="O49" s="413"/>
      <c r="P49" s="416"/>
      <c r="Q49" s="417"/>
      <c r="R49" s="412"/>
      <c r="S49" s="413"/>
      <c r="T49" s="416"/>
      <c r="U49" s="413"/>
      <c r="V49" s="416"/>
      <c r="W49" s="413"/>
      <c r="X49" s="416"/>
      <c r="Y49" s="413"/>
      <c r="Z49" s="416"/>
      <c r="AA49" s="417"/>
      <c r="AB49" s="379">
        <f t="shared" si="3"/>
        <v>3500</v>
      </c>
      <c r="AC49" s="380">
        <f t="shared" si="3"/>
        <v>3000</v>
      </c>
      <c r="AD49" s="402">
        <f t="shared" si="4"/>
        <v>-500</v>
      </c>
    </row>
    <row r="50" spans="1:31" ht="14.5" x14ac:dyDescent="0.35">
      <c r="A50" s="403" t="s">
        <v>549</v>
      </c>
      <c r="B50" s="412"/>
      <c r="C50" s="417"/>
      <c r="D50" s="412"/>
      <c r="E50" s="418"/>
      <c r="F50" s="407"/>
      <c r="G50" s="405"/>
      <c r="H50" s="407"/>
      <c r="I50" s="405"/>
      <c r="J50" s="412"/>
      <c r="K50" s="413"/>
      <c r="L50" s="414"/>
      <c r="M50" s="415"/>
      <c r="N50" s="412"/>
      <c r="O50" s="413"/>
      <c r="P50" s="416">
        <v>1260</v>
      </c>
      <c r="Q50" s="417"/>
      <c r="R50" s="412"/>
      <c r="S50" s="413">
        <v>1260</v>
      </c>
      <c r="T50" s="416"/>
      <c r="U50" s="413"/>
      <c r="V50" s="416">
        <v>100</v>
      </c>
      <c r="W50" s="413"/>
      <c r="X50" s="416"/>
      <c r="Y50" s="413"/>
      <c r="Z50" s="416">
        <v>1260</v>
      </c>
      <c r="AA50" s="417">
        <v>1260</v>
      </c>
      <c r="AB50" s="379">
        <f t="shared" si="3"/>
        <v>2620</v>
      </c>
      <c r="AC50" s="380">
        <f t="shared" si="3"/>
        <v>2520</v>
      </c>
      <c r="AD50" s="402">
        <f t="shared" si="4"/>
        <v>-100</v>
      </c>
    </row>
    <row r="51" spans="1:31" ht="14.5" x14ac:dyDescent="0.35">
      <c r="A51" s="403" t="s">
        <v>550</v>
      </c>
      <c r="B51" s="404"/>
      <c r="C51" s="405"/>
      <c r="D51" s="404"/>
      <c r="E51" s="406"/>
      <c r="F51" s="407"/>
      <c r="G51" s="405"/>
      <c r="H51" s="407"/>
      <c r="I51" s="405"/>
      <c r="J51" s="404">
        <v>6175</v>
      </c>
      <c r="K51" s="408">
        <v>3600</v>
      </c>
      <c r="L51" s="409"/>
      <c r="M51" s="410"/>
      <c r="N51" s="404"/>
      <c r="O51" s="408"/>
      <c r="P51" s="407"/>
      <c r="Q51" s="405"/>
      <c r="R51" s="404"/>
      <c r="S51" s="408"/>
      <c r="T51" s="407"/>
      <c r="U51" s="408"/>
      <c r="V51" s="407"/>
      <c r="W51" s="408"/>
      <c r="X51" s="407"/>
      <c r="Y51" s="408"/>
      <c r="Z51" s="407"/>
      <c r="AA51" s="405"/>
      <c r="AB51" s="379">
        <f t="shared" si="3"/>
        <v>6175</v>
      </c>
      <c r="AC51" s="380">
        <f t="shared" si="3"/>
        <v>3600</v>
      </c>
      <c r="AD51" s="402">
        <f t="shared" si="4"/>
        <v>-2575</v>
      </c>
    </row>
    <row r="52" spans="1:31" ht="14.5" x14ac:dyDescent="0.35">
      <c r="A52" s="403" t="s">
        <v>551</v>
      </c>
      <c r="B52" s="412"/>
      <c r="C52" s="417"/>
      <c r="D52" s="412"/>
      <c r="E52" s="418"/>
      <c r="F52" s="407"/>
      <c r="G52" s="405"/>
      <c r="H52" s="407"/>
      <c r="I52" s="405"/>
      <c r="J52" s="412"/>
      <c r="K52" s="413"/>
      <c r="L52" s="414"/>
      <c r="M52" s="415"/>
      <c r="N52" s="412"/>
      <c r="O52" s="413"/>
      <c r="P52" s="416">
        <v>3500</v>
      </c>
      <c r="Q52" s="417">
        <v>3500</v>
      </c>
      <c r="R52" s="412"/>
      <c r="S52" s="413"/>
      <c r="T52" s="416"/>
      <c r="U52" s="413"/>
      <c r="V52" s="416"/>
      <c r="W52" s="413"/>
      <c r="X52" s="416"/>
      <c r="Y52" s="413"/>
      <c r="Z52" s="416"/>
      <c r="AA52" s="417"/>
      <c r="AB52" s="379">
        <f t="shared" si="3"/>
        <v>3500</v>
      </c>
      <c r="AC52" s="380">
        <f t="shared" si="3"/>
        <v>3500</v>
      </c>
      <c r="AD52" s="402">
        <f t="shared" si="4"/>
        <v>0</v>
      </c>
    </row>
    <row r="53" spans="1:31" ht="14.5" x14ac:dyDescent="0.35">
      <c r="A53" s="403" t="s">
        <v>552</v>
      </c>
      <c r="B53" s="404"/>
      <c r="C53" s="405">
        <v>1000</v>
      </c>
      <c r="D53" s="404"/>
      <c r="E53" s="406"/>
      <c r="F53" s="407"/>
      <c r="G53" s="405"/>
      <c r="H53" s="407"/>
      <c r="I53" s="405"/>
      <c r="J53" s="404"/>
      <c r="K53" s="408"/>
      <c r="L53" s="409"/>
      <c r="M53" s="410"/>
      <c r="N53" s="404"/>
      <c r="O53" s="408"/>
      <c r="P53" s="407"/>
      <c r="Q53" s="405"/>
      <c r="R53" s="404"/>
      <c r="S53" s="408"/>
      <c r="T53" s="407"/>
      <c r="U53" s="408"/>
      <c r="V53" s="407"/>
      <c r="W53" s="408"/>
      <c r="X53" s="407"/>
      <c r="Y53" s="408"/>
      <c r="Z53" s="407"/>
      <c r="AA53" s="405"/>
      <c r="AB53" s="379">
        <f t="shared" si="3"/>
        <v>0</v>
      </c>
      <c r="AC53" s="380">
        <f t="shared" si="3"/>
        <v>1000</v>
      </c>
      <c r="AD53" s="402">
        <f t="shared" si="4"/>
        <v>1000</v>
      </c>
    </row>
    <row r="54" spans="1:31" ht="14.5" x14ac:dyDescent="0.35">
      <c r="A54" s="403" t="s">
        <v>553</v>
      </c>
      <c r="B54" s="404">
        <v>1600</v>
      </c>
      <c r="C54" s="405"/>
      <c r="D54" s="404">
        <v>1042</v>
      </c>
      <c r="E54" s="406"/>
      <c r="F54" s="407">
        <v>263</v>
      </c>
      <c r="G54" s="405"/>
      <c r="H54" s="407"/>
      <c r="I54" s="405"/>
      <c r="J54" s="404">
        <f>121+120+84</f>
        <v>325</v>
      </c>
      <c r="K54" s="408"/>
      <c r="L54" s="409"/>
      <c r="M54" s="410"/>
      <c r="N54" s="404">
        <v>121</v>
      </c>
      <c r="O54" s="408"/>
      <c r="P54" s="407"/>
      <c r="Q54" s="405"/>
      <c r="R54" s="404"/>
      <c r="S54" s="408"/>
      <c r="T54" s="407">
        <v>500</v>
      </c>
      <c r="U54" s="408"/>
      <c r="V54" s="407"/>
      <c r="W54" s="408"/>
      <c r="X54" s="407"/>
      <c r="Y54" s="408"/>
      <c r="Z54" s="407"/>
      <c r="AA54" s="405"/>
      <c r="AB54" s="379">
        <f t="shared" si="3"/>
        <v>3851</v>
      </c>
      <c r="AC54" s="380">
        <f t="shared" si="3"/>
        <v>0</v>
      </c>
      <c r="AD54" s="402">
        <f t="shared" si="4"/>
        <v>-3851</v>
      </c>
    </row>
    <row r="55" spans="1:31" ht="14.5" x14ac:dyDescent="0.35">
      <c r="A55" s="419" t="s">
        <v>554</v>
      </c>
      <c r="B55" s="404"/>
      <c r="C55" s="405"/>
      <c r="D55" s="404"/>
      <c r="E55" s="406">
        <v>3000</v>
      </c>
      <c r="F55" s="407"/>
      <c r="G55" s="405"/>
      <c r="H55" s="407"/>
      <c r="I55" s="405"/>
      <c r="J55" s="412"/>
      <c r="K55" s="413"/>
      <c r="L55" s="414"/>
      <c r="M55" s="415"/>
      <c r="N55" s="412"/>
      <c r="O55" s="413"/>
      <c r="P55" s="416"/>
      <c r="Q55" s="417">
        <v>7000</v>
      </c>
      <c r="R55" s="412"/>
      <c r="S55" s="413"/>
      <c r="T55" s="416"/>
      <c r="U55" s="413"/>
      <c r="V55" s="416"/>
      <c r="W55" s="413"/>
      <c r="X55" s="416"/>
      <c r="Y55" s="413"/>
      <c r="Z55" s="416"/>
      <c r="AA55" s="417"/>
      <c r="AB55" s="379">
        <f t="shared" si="3"/>
        <v>0</v>
      </c>
      <c r="AC55" s="380">
        <f t="shared" si="3"/>
        <v>10000</v>
      </c>
      <c r="AD55" s="402">
        <f t="shared" si="4"/>
        <v>10000</v>
      </c>
      <c r="AE55" s="400"/>
    </row>
    <row r="56" spans="1:31" ht="14.5" x14ac:dyDescent="0.35">
      <c r="A56" s="403" t="s">
        <v>555</v>
      </c>
      <c r="B56" s="404"/>
      <c r="C56" s="405"/>
      <c r="D56" s="404">
        <v>2000</v>
      </c>
      <c r="E56" s="406"/>
      <c r="F56" s="407"/>
      <c r="G56" s="405"/>
      <c r="H56" s="407"/>
      <c r="I56" s="405"/>
      <c r="J56" s="412"/>
      <c r="K56" s="413"/>
      <c r="L56" s="414"/>
      <c r="M56" s="415"/>
      <c r="N56" s="412"/>
      <c r="O56" s="413"/>
      <c r="P56" s="416">
        <v>1983</v>
      </c>
      <c r="Q56" s="417"/>
      <c r="R56" s="412"/>
      <c r="S56" s="413"/>
      <c r="T56" s="416"/>
      <c r="U56" s="413"/>
      <c r="V56" s="416"/>
      <c r="W56" s="413"/>
      <c r="X56" s="416"/>
      <c r="Y56" s="413"/>
      <c r="Z56" s="416"/>
      <c r="AA56" s="417"/>
      <c r="AB56" s="379">
        <f t="shared" si="3"/>
        <v>3983</v>
      </c>
      <c r="AC56" s="380">
        <f t="shared" si="3"/>
        <v>0</v>
      </c>
      <c r="AD56" s="402">
        <f t="shared" si="4"/>
        <v>-3983</v>
      </c>
    </row>
    <row r="57" spans="1:31" ht="14.5" x14ac:dyDescent="0.35">
      <c r="A57" s="403" t="s">
        <v>556</v>
      </c>
      <c r="B57" s="420"/>
      <c r="C57" s="421"/>
      <c r="D57" s="404"/>
      <c r="E57" s="406"/>
      <c r="F57" s="407"/>
      <c r="G57" s="405"/>
      <c r="H57" s="407"/>
      <c r="I57" s="405"/>
      <c r="J57" s="404">
        <v>3000</v>
      </c>
      <c r="K57" s="408">
        <v>3000</v>
      </c>
      <c r="L57" s="409"/>
      <c r="M57" s="410"/>
      <c r="N57" s="404"/>
      <c r="O57" s="408"/>
      <c r="P57" s="407"/>
      <c r="Q57" s="405"/>
      <c r="R57" s="404"/>
      <c r="S57" s="408"/>
      <c r="T57" s="407"/>
      <c r="U57" s="408"/>
      <c r="V57" s="407"/>
      <c r="W57" s="408"/>
      <c r="X57" s="407"/>
      <c r="Y57" s="408"/>
      <c r="Z57" s="407"/>
      <c r="AA57" s="405"/>
      <c r="AB57" s="379">
        <f t="shared" si="3"/>
        <v>3000</v>
      </c>
      <c r="AC57" s="380">
        <f t="shared" si="3"/>
        <v>3000</v>
      </c>
      <c r="AD57" s="402">
        <f t="shared" si="4"/>
        <v>0</v>
      </c>
    </row>
    <row r="58" spans="1:31" ht="14.5" x14ac:dyDescent="0.35">
      <c r="A58" s="403" t="s">
        <v>557</v>
      </c>
      <c r="B58" s="404"/>
      <c r="C58" s="405"/>
      <c r="D58" s="404"/>
      <c r="E58" s="406"/>
      <c r="F58" s="407"/>
      <c r="G58" s="405"/>
      <c r="H58" s="407"/>
      <c r="I58" s="405"/>
      <c r="J58" s="412"/>
      <c r="K58" s="413"/>
      <c r="L58" s="414"/>
      <c r="M58" s="415"/>
      <c r="N58" s="412">
        <f>1580+145.01</f>
        <v>1725.01</v>
      </c>
      <c r="O58" s="413"/>
      <c r="P58" s="416"/>
      <c r="Q58" s="417"/>
      <c r="R58" s="412"/>
      <c r="S58" s="413"/>
      <c r="T58" s="416"/>
      <c r="U58" s="413"/>
      <c r="V58" s="416"/>
      <c r="W58" s="413"/>
      <c r="X58" s="416"/>
      <c r="Y58" s="413"/>
      <c r="Z58" s="416"/>
      <c r="AA58" s="417"/>
      <c r="AB58" s="379">
        <f t="shared" si="3"/>
        <v>1725.01</v>
      </c>
      <c r="AC58" s="380">
        <f t="shared" si="3"/>
        <v>0</v>
      </c>
      <c r="AD58" s="402">
        <f t="shared" si="4"/>
        <v>-1725.01</v>
      </c>
    </row>
    <row r="59" spans="1:31" ht="14.5" x14ac:dyDescent="0.35">
      <c r="A59" s="403" t="s">
        <v>558</v>
      </c>
      <c r="B59" s="404"/>
      <c r="C59" s="405"/>
      <c r="D59" s="404"/>
      <c r="E59" s="406"/>
      <c r="F59" s="407"/>
      <c r="G59" s="405"/>
      <c r="H59" s="407"/>
      <c r="I59" s="405"/>
      <c r="J59" s="404"/>
      <c r="K59" s="408"/>
      <c r="L59" s="409"/>
      <c r="M59" s="410"/>
      <c r="N59" s="404">
        <f>5632+1408+5940+5824+1456+4646</f>
        <v>24906</v>
      </c>
      <c r="O59" s="408">
        <f>32300</f>
        <v>32300</v>
      </c>
      <c r="P59" s="407"/>
      <c r="Q59" s="405"/>
      <c r="R59" s="404"/>
      <c r="S59" s="408"/>
      <c r="T59" s="407"/>
      <c r="U59" s="408"/>
      <c r="V59" s="407"/>
      <c r="W59" s="408"/>
      <c r="X59" s="407"/>
      <c r="Y59" s="408"/>
      <c r="Z59" s="407"/>
      <c r="AA59" s="405"/>
      <c r="AB59" s="379">
        <f t="shared" si="3"/>
        <v>24906</v>
      </c>
      <c r="AC59" s="380">
        <f t="shared" si="3"/>
        <v>32300</v>
      </c>
      <c r="AD59" s="402">
        <f t="shared" si="4"/>
        <v>7394</v>
      </c>
    </row>
    <row r="60" spans="1:31" ht="14.5" x14ac:dyDescent="0.35">
      <c r="A60" s="403" t="s">
        <v>559</v>
      </c>
      <c r="B60" s="404"/>
      <c r="C60" s="405"/>
      <c r="D60" s="404"/>
      <c r="E60" s="406"/>
      <c r="F60" s="407"/>
      <c r="G60" s="405"/>
      <c r="H60" s="407"/>
      <c r="I60" s="405"/>
      <c r="J60" s="404"/>
      <c r="K60" s="408"/>
      <c r="L60" s="409"/>
      <c r="M60" s="410"/>
      <c r="N60" s="404"/>
      <c r="O60" s="408"/>
      <c r="P60" s="407">
        <v>1500</v>
      </c>
      <c r="Q60" s="405">
        <v>1500</v>
      </c>
      <c r="R60" s="404"/>
      <c r="S60" s="408"/>
      <c r="T60" s="407"/>
      <c r="U60" s="408"/>
      <c r="V60" s="407"/>
      <c r="W60" s="408"/>
      <c r="X60" s="407"/>
      <c r="Y60" s="408"/>
      <c r="Z60" s="407"/>
      <c r="AA60" s="405"/>
      <c r="AB60" s="379">
        <f t="shared" si="3"/>
        <v>1500</v>
      </c>
      <c r="AC60" s="380">
        <f t="shared" si="3"/>
        <v>1500</v>
      </c>
      <c r="AD60" s="402">
        <f t="shared" si="4"/>
        <v>0</v>
      </c>
    </row>
    <row r="61" spans="1:31" ht="14.5" x14ac:dyDescent="0.35">
      <c r="A61" s="403" t="s">
        <v>560</v>
      </c>
      <c r="B61" s="404"/>
      <c r="C61" s="405"/>
      <c r="D61" s="404"/>
      <c r="E61" s="406"/>
      <c r="F61" s="407"/>
      <c r="G61" s="405"/>
      <c r="H61" s="407"/>
      <c r="I61" s="405"/>
      <c r="J61" s="412"/>
      <c r="K61" s="413"/>
      <c r="L61" s="414"/>
      <c r="M61" s="415"/>
      <c r="N61" s="412"/>
      <c r="O61" s="413"/>
      <c r="P61" s="416">
        <f>2000+66.9+135.5+36.75</f>
        <v>2239.15</v>
      </c>
      <c r="Q61" s="417">
        <v>2200</v>
      </c>
      <c r="R61" s="412"/>
      <c r="S61" s="413"/>
      <c r="T61" s="416"/>
      <c r="U61" s="413"/>
      <c r="V61" s="416"/>
      <c r="W61" s="413"/>
      <c r="X61" s="416"/>
      <c r="Y61" s="413"/>
      <c r="Z61" s="416"/>
      <c r="AA61" s="417"/>
      <c r="AB61" s="379">
        <f t="shared" si="3"/>
        <v>2239.15</v>
      </c>
      <c r="AC61" s="380">
        <f t="shared" si="3"/>
        <v>2200</v>
      </c>
      <c r="AD61" s="402">
        <f t="shared" si="4"/>
        <v>-39.150000000000091</v>
      </c>
    </row>
    <row r="62" spans="1:31" ht="14.5" x14ac:dyDescent="0.35">
      <c r="A62" s="403" t="s">
        <v>561</v>
      </c>
      <c r="B62" s="404"/>
      <c r="C62" s="405"/>
      <c r="D62" s="404"/>
      <c r="E62" s="406"/>
      <c r="F62" s="407"/>
      <c r="G62" s="405"/>
      <c r="H62" s="407"/>
      <c r="I62" s="405"/>
      <c r="J62" s="404">
        <v>250</v>
      </c>
      <c r="K62" s="408">
        <v>250</v>
      </c>
      <c r="L62" s="409"/>
      <c r="M62" s="410"/>
      <c r="N62" s="404"/>
      <c r="O62" s="408"/>
      <c r="P62" s="407"/>
      <c r="Q62" s="405"/>
      <c r="R62" s="404"/>
      <c r="S62" s="408"/>
      <c r="T62" s="407"/>
      <c r="U62" s="408"/>
      <c r="V62" s="407"/>
      <c r="W62" s="408"/>
      <c r="X62" s="407"/>
      <c r="Y62" s="408"/>
      <c r="Z62" s="407"/>
      <c r="AA62" s="405"/>
      <c r="AB62" s="379">
        <f t="shared" si="3"/>
        <v>250</v>
      </c>
      <c r="AC62" s="380">
        <f t="shared" si="3"/>
        <v>250</v>
      </c>
      <c r="AD62" s="402">
        <f t="shared" si="4"/>
        <v>0</v>
      </c>
    </row>
    <row r="63" spans="1:31" ht="14.5" x14ac:dyDescent="0.35">
      <c r="A63" s="403" t="s">
        <v>562</v>
      </c>
      <c r="B63" s="404"/>
      <c r="C63" s="405"/>
      <c r="D63" s="404"/>
      <c r="E63" s="406"/>
      <c r="F63" s="407"/>
      <c r="G63" s="405"/>
      <c r="H63" s="407"/>
      <c r="I63" s="405"/>
      <c r="J63" s="404">
        <v>244</v>
      </c>
      <c r="K63" s="408"/>
      <c r="L63" s="409"/>
      <c r="M63" s="410"/>
      <c r="N63" s="404"/>
      <c r="O63" s="408"/>
      <c r="P63" s="407"/>
      <c r="Q63" s="405"/>
      <c r="R63" s="404"/>
      <c r="S63" s="408"/>
      <c r="T63" s="407"/>
      <c r="U63" s="408"/>
      <c r="V63" s="407"/>
      <c r="W63" s="408"/>
      <c r="X63" s="407"/>
      <c r="Y63" s="408"/>
      <c r="Z63" s="407"/>
      <c r="AA63" s="405"/>
      <c r="AB63" s="379">
        <f t="shared" si="3"/>
        <v>244</v>
      </c>
      <c r="AC63" s="380">
        <f t="shared" si="3"/>
        <v>0</v>
      </c>
      <c r="AD63" s="402">
        <f t="shared" si="4"/>
        <v>-244</v>
      </c>
    </row>
    <row r="64" spans="1:31" ht="14.5" x14ac:dyDescent="0.35">
      <c r="A64" s="403" t="s">
        <v>563</v>
      </c>
      <c r="B64" s="420"/>
      <c r="C64" s="421"/>
      <c r="D64" s="404"/>
      <c r="E64" s="406"/>
      <c r="F64" s="407"/>
      <c r="G64" s="405"/>
      <c r="H64" s="407"/>
      <c r="I64" s="405"/>
      <c r="J64" s="404">
        <v>250</v>
      </c>
      <c r="K64" s="408">
        <v>250</v>
      </c>
      <c r="L64" s="409"/>
      <c r="M64" s="410"/>
      <c r="N64" s="404"/>
      <c r="O64" s="408"/>
      <c r="P64" s="407"/>
      <c r="Q64" s="405"/>
      <c r="R64" s="404"/>
      <c r="S64" s="408"/>
      <c r="T64" s="407"/>
      <c r="U64" s="408"/>
      <c r="V64" s="407"/>
      <c r="W64" s="408"/>
      <c r="X64" s="407"/>
      <c r="Y64" s="408"/>
      <c r="Z64" s="407"/>
      <c r="AA64" s="405"/>
      <c r="AB64" s="379">
        <f t="shared" si="3"/>
        <v>250</v>
      </c>
      <c r="AC64" s="380">
        <f t="shared" si="3"/>
        <v>250</v>
      </c>
      <c r="AD64" s="402">
        <f t="shared" si="4"/>
        <v>0</v>
      </c>
    </row>
    <row r="65" spans="1:50" ht="14.5" x14ac:dyDescent="0.35">
      <c r="A65" s="403" t="s">
        <v>564</v>
      </c>
      <c r="B65" s="420"/>
      <c r="C65" s="421"/>
      <c r="D65" s="404"/>
      <c r="E65" s="406"/>
      <c r="F65" s="407"/>
      <c r="G65" s="405"/>
      <c r="H65" s="407"/>
      <c r="I65" s="405"/>
      <c r="J65" s="404">
        <v>1500</v>
      </c>
      <c r="K65" s="408">
        <v>1800</v>
      </c>
      <c r="L65" s="409"/>
      <c r="M65" s="410"/>
      <c r="N65" s="404"/>
      <c r="O65" s="408"/>
      <c r="P65" s="407"/>
      <c r="Q65" s="405"/>
      <c r="R65" s="404"/>
      <c r="S65" s="408"/>
      <c r="T65" s="407"/>
      <c r="U65" s="408"/>
      <c r="V65" s="407"/>
      <c r="W65" s="408"/>
      <c r="X65" s="407"/>
      <c r="Y65" s="408"/>
      <c r="Z65" s="407"/>
      <c r="AA65" s="405"/>
      <c r="AB65" s="379">
        <f t="shared" si="3"/>
        <v>1500</v>
      </c>
      <c r="AC65" s="380">
        <f t="shared" si="3"/>
        <v>1800</v>
      </c>
      <c r="AD65" s="402">
        <f t="shared" si="4"/>
        <v>300</v>
      </c>
    </row>
    <row r="66" spans="1:50" ht="14.5" x14ac:dyDescent="0.35">
      <c r="A66" s="403" t="s">
        <v>565</v>
      </c>
      <c r="B66" s="404"/>
      <c r="C66" s="405"/>
      <c r="D66" s="404"/>
      <c r="E66" s="406"/>
      <c r="F66" s="407"/>
      <c r="G66" s="405"/>
      <c r="H66" s="407"/>
      <c r="I66" s="405"/>
      <c r="J66" s="404"/>
      <c r="K66" s="408"/>
      <c r="L66" s="409"/>
      <c r="M66" s="410"/>
      <c r="N66" s="404"/>
      <c r="O66" s="408">
        <v>1075</v>
      </c>
      <c r="P66" s="407"/>
      <c r="Q66" s="405"/>
      <c r="R66" s="404"/>
      <c r="S66" s="408"/>
      <c r="T66" s="407"/>
      <c r="U66" s="408"/>
      <c r="V66" s="407"/>
      <c r="W66" s="408"/>
      <c r="X66" s="407"/>
      <c r="Y66" s="408"/>
      <c r="Z66" s="407"/>
      <c r="AA66" s="405"/>
      <c r="AB66" s="379">
        <f t="shared" si="3"/>
        <v>0</v>
      </c>
      <c r="AC66" s="380">
        <f t="shared" si="3"/>
        <v>1075</v>
      </c>
      <c r="AD66" s="402">
        <f t="shared" si="4"/>
        <v>1075</v>
      </c>
    </row>
    <row r="67" spans="1:50" s="401" customFormat="1" ht="14.5" thickBot="1" x14ac:dyDescent="0.35">
      <c r="A67" s="422" t="s">
        <v>566</v>
      </c>
      <c r="B67" s="423">
        <f t="shared" ref="B67:AA67" si="5">SUM(B46:B66)</f>
        <v>21423</v>
      </c>
      <c r="C67" s="424">
        <f t="shared" si="5"/>
        <v>24100</v>
      </c>
      <c r="D67" s="423">
        <f t="shared" si="5"/>
        <v>9810.15</v>
      </c>
      <c r="E67" s="424">
        <f t="shared" si="5"/>
        <v>12555</v>
      </c>
      <c r="F67" s="425">
        <f t="shared" si="5"/>
        <v>2163</v>
      </c>
      <c r="G67" s="426">
        <f t="shared" si="5"/>
        <v>2800</v>
      </c>
      <c r="H67" s="423">
        <f t="shared" si="5"/>
        <v>605</v>
      </c>
      <c r="I67" s="427">
        <f t="shared" si="5"/>
        <v>800</v>
      </c>
      <c r="J67" s="425">
        <f t="shared" si="5"/>
        <v>14385</v>
      </c>
      <c r="K67" s="425">
        <f t="shared" si="5"/>
        <v>11455</v>
      </c>
      <c r="L67" s="428">
        <f t="shared" si="5"/>
        <v>5717</v>
      </c>
      <c r="M67" s="428">
        <f t="shared" si="5"/>
        <v>8300</v>
      </c>
      <c r="N67" s="425">
        <f t="shared" si="5"/>
        <v>35576.01</v>
      </c>
      <c r="O67" s="428">
        <f t="shared" si="5"/>
        <v>45375</v>
      </c>
      <c r="P67" s="428">
        <f t="shared" si="5"/>
        <v>13417.15</v>
      </c>
      <c r="Q67" s="429">
        <f t="shared" si="5"/>
        <v>20950</v>
      </c>
      <c r="R67" s="429">
        <f t="shared" si="5"/>
        <v>0</v>
      </c>
      <c r="S67" s="430">
        <f t="shared" si="5"/>
        <v>3695</v>
      </c>
      <c r="T67" s="430">
        <f t="shared" si="5"/>
        <v>3000</v>
      </c>
      <c r="U67" s="430">
        <f t="shared" si="5"/>
        <v>3030</v>
      </c>
      <c r="V67" s="430">
        <f t="shared" si="5"/>
        <v>11852</v>
      </c>
      <c r="W67" s="430">
        <f t="shared" si="5"/>
        <v>11500</v>
      </c>
      <c r="X67" s="430">
        <f t="shared" si="5"/>
        <v>0</v>
      </c>
      <c r="Y67" s="430">
        <f t="shared" si="5"/>
        <v>3000</v>
      </c>
      <c r="Z67" s="428">
        <f t="shared" si="5"/>
        <v>41260</v>
      </c>
      <c r="AA67" s="428">
        <f t="shared" si="5"/>
        <v>51260</v>
      </c>
      <c r="AB67" s="431">
        <f t="shared" si="3"/>
        <v>159208.31</v>
      </c>
      <c r="AC67" s="432">
        <f t="shared" si="3"/>
        <v>198820</v>
      </c>
      <c r="AD67" s="433">
        <f t="shared" si="4"/>
        <v>39611.69</v>
      </c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</row>
    <row r="68" spans="1:50" ht="14.5" thickBot="1" x14ac:dyDescent="0.35">
      <c r="A68" s="434"/>
      <c r="B68" s="435">
        <f t="shared" ref="B68:AC68" si="6">B67-B44</f>
        <v>-37.870000000002619</v>
      </c>
      <c r="C68" s="435">
        <f t="shared" si="6"/>
        <v>0</v>
      </c>
      <c r="D68" s="435">
        <f t="shared" si="6"/>
        <v>139.72999999999956</v>
      </c>
      <c r="E68" s="435">
        <f t="shared" si="6"/>
        <v>0</v>
      </c>
      <c r="F68" s="435">
        <f t="shared" si="6"/>
        <v>0</v>
      </c>
      <c r="G68" s="435">
        <f t="shared" si="6"/>
        <v>0</v>
      </c>
      <c r="H68" s="435">
        <f t="shared" si="6"/>
        <v>0</v>
      </c>
      <c r="I68" s="435">
        <f t="shared" si="6"/>
        <v>0</v>
      </c>
      <c r="J68" s="435">
        <f t="shared" si="6"/>
        <v>0.38000000000101863</v>
      </c>
      <c r="K68" s="435">
        <f t="shared" si="6"/>
        <v>0</v>
      </c>
      <c r="L68" s="435">
        <f t="shared" si="6"/>
        <v>0</v>
      </c>
      <c r="M68" s="435">
        <f t="shared" si="6"/>
        <v>0</v>
      </c>
      <c r="N68" s="435">
        <f t="shared" si="6"/>
        <v>171.68000000000029</v>
      </c>
      <c r="O68" s="436">
        <f t="shared" si="6"/>
        <v>0</v>
      </c>
      <c r="P68" s="436">
        <f t="shared" si="6"/>
        <v>294.19000000000051</v>
      </c>
      <c r="Q68" s="436">
        <f t="shared" si="6"/>
        <v>0</v>
      </c>
      <c r="R68" s="436">
        <f t="shared" si="6"/>
        <v>0</v>
      </c>
      <c r="S68" s="436">
        <f t="shared" si="6"/>
        <v>0</v>
      </c>
      <c r="T68" s="436">
        <f t="shared" si="6"/>
        <v>0</v>
      </c>
      <c r="U68" s="436">
        <f t="shared" si="6"/>
        <v>0</v>
      </c>
      <c r="V68" s="436">
        <f t="shared" si="6"/>
        <v>0.15999999999985448</v>
      </c>
      <c r="W68" s="436">
        <f t="shared" si="6"/>
        <v>0</v>
      </c>
      <c r="X68" s="436">
        <f t="shared" si="6"/>
        <v>0</v>
      </c>
      <c r="Y68" s="436">
        <f t="shared" si="6"/>
        <v>0</v>
      </c>
      <c r="Z68" s="436">
        <f t="shared" si="6"/>
        <v>0</v>
      </c>
      <c r="AA68" s="436">
        <f t="shared" si="6"/>
        <v>0</v>
      </c>
      <c r="AB68" s="436">
        <f t="shared" si="6"/>
        <v>568.26999999998952</v>
      </c>
      <c r="AC68" s="436">
        <f t="shared" si="6"/>
        <v>0</v>
      </c>
      <c r="AD68" s="435"/>
    </row>
    <row r="69" spans="1:50" x14ac:dyDescent="0.3">
      <c r="A69" s="437"/>
      <c r="B69" s="437"/>
      <c r="C69" s="43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</row>
    <row r="70" spans="1:50" x14ac:dyDescent="0.3">
      <c r="A70" s="437"/>
      <c r="B70" s="437"/>
      <c r="C70" s="437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</row>
    <row r="71" spans="1:50" x14ac:dyDescent="0.3">
      <c r="A71" s="437"/>
      <c r="B71" s="437"/>
      <c r="C71" s="437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</row>
    <row r="72" spans="1:50" x14ac:dyDescent="0.3">
      <c r="A72" s="437"/>
      <c r="B72" s="437"/>
      <c r="C72" s="437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</row>
    <row r="73" spans="1:50" x14ac:dyDescent="0.3">
      <c r="A73" s="437"/>
      <c r="B73" s="437"/>
      <c r="C73" s="437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</row>
    <row r="74" spans="1:50" x14ac:dyDescent="0.3">
      <c r="A74" s="437"/>
      <c r="B74" s="437"/>
      <c r="C74" s="437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</row>
    <row r="75" spans="1:50" x14ac:dyDescent="0.3">
      <c r="A75" s="437"/>
      <c r="B75" s="437"/>
      <c r="C75" s="437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</row>
    <row r="76" spans="1:50" x14ac:dyDescent="0.3">
      <c r="A76" s="437"/>
      <c r="B76" s="437"/>
      <c r="C76" s="437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</row>
    <row r="77" spans="1:50" x14ac:dyDescent="0.3">
      <c r="A77" s="437"/>
      <c r="B77" s="437"/>
      <c r="C77" s="437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</row>
    <row r="78" spans="1:50" x14ac:dyDescent="0.3">
      <c r="A78" s="437"/>
      <c r="B78" s="437"/>
      <c r="C78" s="437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</row>
    <row r="79" spans="1:50" x14ac:dyDescent="0.3">
      <c r="A79" s="437"/>
      <c r="B79" s="437"/>
      <c r="C79" s="437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</row>
    <row r="80" spans="1:50" x14ac:dyDescent="0.3">
      <c r="A80" s="437"/>
      <c r="B80" s="437"/>
      <c r="C80" s="437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</row>
    <row r="81" spans="1:26" s="116" customFormat="1" x14ac:dyDescent="0.3">
      <c r="A81" s="437"/>
      <c r="B81" s="437"/>
      <c r="C81" s="437"/>
      <c r="D81" s="437"/>
    </row>
    <row r="82" spans="1:26" s="116" customFormat="1" x14ac:dyDescent="0.3">
      <c r="A82" s="437"/>
      <c r="B82" s="437"/>
      <c r="C82" s="437"/>
      <c r="D82" s="437"/>
    </row>
    <row r="83" spans="1:26" s="116" customFormat="1" x14ac:dyDescent="0.3">
      <c r="A83" s="437"/>
      <c r="B83" s="437"/>
      <c r="C83" s="437"/>
      <c r="D83" s="437"/>
    </row>
    <row r="84" spans="1:26" s="116" customFormat="1" x14ac:dyDescent="0.3">
      <c r="A84" s="437"/>
      <c r="B84" s="437"/>
      <c r="C84" s="437"/>
      <c r="D84" s="437"/>
    </row>
    <row r="85" spans="1:26" s="116" customFormat="1" x14ac:dyDescent="0.3">
      <c r="A85" s="437"/>
      <c r="B85" s="437"/>
      <c r="C85" s="437"/>
      <c r="D85" s="437"/>
    </row>
    <row r="86" spans="1:26" s="116" customFormat="1" x14ac:dyDescent="0.3">
      <c r="A86" s="437"/>
      <c r="B86" s="437"/>
      <c r="C86" s="437"/>
      <c r="D86" s="437"/>
    </row>
    <row r="87" spans="1:26" s="116" customFormat="1" x14ac:dyDescent="0.3">
      <c r="A87" s="437"/>
      <c r="B87" s="437"/>
      <c r="C87" s="437"/>
      <c r="D87" s="437"/>
    </row>
    <row r="88" spans="1:26" s="116" customFormat="1" x14ac:dyDescent="0.3">
      <c r="A88" s="437"/>
      <c r="B88" s="437"/>
      <c r="C88" s="437"/>
      <c r="D88" s="437"/>
    </row>
    <row r="89" spans="1:26" s="116" customFormat="1" x14ac:dyDescent="0.3">
      <c r="A89" s="437"/>
      <c r="B89" s="437"/>
      <c r="C89" s="437"/>
      <c r="D89" s="437"/>
    </row>
    <row r="90" spans="1:26" s="116" customFormat="1" x14ac:dyDescent="0.3">
      <c r="B90" s="438"/>
      <c r="C90" s="438"/>
      <c r="D90" s="437"/>
      <c r="E90" s="437"/>
      <c r="F90" s="437"/>
      <c r="G90" s="437"/>
      <c r="H90" s="437"/>
      <c r="I90" s="437"/>
      <c r="J90" s="437"/>
      <c r="K90" s="437"/>
      <c r="L90" s="437"/>
      <c r="M90" s="437"/>
      <c r="N90" s="437"/>
      <c r="O90" s="437"/>
      <c r="P90" s="437"/>
      <c r="Q90" s="437"/>
      <c r="R90" s="437"/>
      <c r="S90" s="437"/>
      <c r="T90" s="437"/>
      <c r="U90" s="437"/>
      <c r="V90" s="437"/>
      <c r="W90" s="437"/>
      <c r="X90" s="437"/>
      <c r="Y90" s="437"/>
      <c r="Z90" s="437"/>
    </row>
    <row r="91" spans="1:26" s="116" customFormat="1" x14ac:dyDescent="0.3">
      <c r="B91" s="438"/>
      <c r="C91" s="438"/>
      <c r="D91" s="437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7"/>
      <c r="V91" s="437"/>
      <c r="W91" s="437"/>
      <c r="X91" s="437"/>
      <c r="Y91" s="437"/>
      <c r="Z91" s="437"/>
    </row>
    <row r="92" spans="1:26" s="116" customFormat="1" x14ac:dyDescent="0.3">
      <c r="B92" s="438"/>
      <c r="C92" s="438"/>
      <c r="D92" s="437"/>
      <c r="E92" s="437"/>
      <c r="F92" s="437"/>
      <c r="G92" s="437"/>
      <c r="H92" s="437"/>
      <c r="I92" s="437"/>
      <c r="J92" s="437"/>
      <c r="K92" s="437"/>
      <c r="L92" s="437"/>
      <c r="M92" s="437"/>
      <c r="N92" s="437"/>
      <c r="O92" s="437"/>
      <c r="P92" s="437"/>
      <c r="Q92" s="437"/>
      <c r="R92" s="437"/>
      <c r="S92" s="437"/>
      <c r="T92" s="437"/>
      <c r="U92" s="437"/>
      <c r="V92" s="437"/>
      <c r="W92" s="437"/>
      <c r="X92" s="437"/>
      <c r="Y92" s="437"/>
      <c r="Z92" s="437"/>
    </row>
    <row r="93" spans="1:26" s="116" customFormat="1" x14ac:dyDescent="0.3">
      <c r="B93" s="438"/>
      <c r="C93" s="438"/>
      <c r="D93" s="437"/>
      <c r="E93" s="437"/>
      <c r="F93" s="437"/>
      <c r="G93" s="437"/>
      <c r="H93" s="437"/>
      <c r="I93" s="437"/>
      <c r="J93" s="437"/>
      <c r="K93" s="437"/>
      <c r="L93" s="437"/>
      <c r="M93" s="437"/>
      <c r="N93" s="437"/>
      <c r="O93" s="437"/>
      <c r="P93" s="437"/>
      <c r="Q93" s="437"/>
      <c r="R93" s="437"/>
      <c r="S93" s="437"/>
      <c r="T93" s="437"/>
      <c r="U93" s="437"/>
      <c r="V93" s="437"/>
      <c r="W93" s="437"/>
      <c r="X93" s="437"/>
      <c r="Y93" s="437"/>
      <c r="Z93" s="437"/>
    </row>
    <row r="94" spans="1:26" s="116" customFormat="1" x14ac:dyDescent="0.3">
      <c r="B94" s="438"/>
      <c r="C94" s="438"/>
      <c r="D94" s="437"/>
      <c r="E94" s="437"/>
      <c r="F94" s="437"/>
      <c r="G94" s="437"/>
      <c r="H94" s="437"/>
      <c r="I94" s="437"/>
      <c r="J94" s="437"/>
      <c r="K94" s="437"/>
      <c r="L94" s="437"/>
      <c r="M94" s="437"/>
      <c r="N94" s="437"/>
      <c r="O94" s="437"/>
      <c r="P94" s="437"/>
      <c r="Q94" s="437"/>
      <c r="R94" s="437"/>
      <c r="S94" s="437"/>
      <c r="T94" s="437"/>
      <c r="U94" s="437"/>
      <c r="V94" s="437"/>
      <c r="W94" s="437"/>
      <c r="X94" s="437"/>
      <c r="Y94" s="437"/>
      <c r="Z94" s="437"/>
    </row>
    <row r="95" spans="1:26" s="116" customFormat="1" x14ac:dyDescent="0.3">
      <c r="B95" s="438"/>
      <c r="C95" s="438"/>
      <c r="D95" s="437"/>
      <c r="E95" s="437"/>
      <c r="F95" s="437"/>
      <c r="G95" s="437"/>
      <c r="H95" s="437"/>
      <c r="I95" s="437"/>
      <c r="J95" s="437"/>
      <c r="K95" s="437"/>
      <c r="L95" s="437"/>
      <c r="M95" s="437"/>
      <c r="N95" s="437"/>
      <c r="O95" s="437"/>
      <c r="P95" s="437"/>
      <c r="Q95" s="437"/>
      <c r="R95" s="437"/>
      <c r="S95" s="437"/>
      <c r="T95" s="437"/>
      <c r="U95" s="437"/>
      <c r="V95" s="437"/>
      <c r="W95" s="437"/>
      <c r="X95" s="437"/>
      <c r="Y95" s="437"/>
      <c r="Z95" s="437"/>
    </row>
  </sheetData>
  <mergeCells count="16">
    <mergeCell ref="Z1:AA1"/>
    <mergeCell ref="AB1:AC1"/>
    <mergeCell ref="N3:O3"/>
    <mergeCell ref="P3:Q3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6607-15D3-764D-A59F-0B563A911331}">
  <dimension ref="A1:AD73"/>
  <sheetViews>
    <sheetView topLeftCell="A34" zoomScale="50" zoomScaleNormal="50" workbookViewId="0">
      <selection activeCell="C64" sqref="C64"/>
    </sheetView>
  </sheetViews>
  <sheetFormatPr defaultColWidth="9.1640625" defaultRowHeight="13" x14ac:dyDescent="0.3"/>
  <cols>
    <col min="1" max="1" width="10.33203125" style="195" customWidth="1"/>
    <col min="2" max="2" width="27.83203125" style="198" customWidth="1"/>
    <col min="3" max="3" width="40" style="198" customWidth="1"/>
    <col min="4" max="4" width="10.1640625" style="198" customWidth="1"/>
    <col min="5" max="5" width="21.1640625" style="198" customWidth="1"/>
    <col min="6" max="8" width="6.1640625" style="198" customWidth="1"/>
    <col min="9" max="10" width="7.1640625" style="198" customWidth="1"/>
    <col min="11" max="11" width="7.33203125" style="198" customWidth="1"/>
    <col min="12" max="14" width="7" style="198" customWidth="1"/>
    <col min="15" max="17" width="8.5" style="198" customWidth="1"/>
    <col min="18" max="18" width="7.5" style="198" customWidth="1"/>
    <col min="19" max="20" width="7.83203125" style="198" customWidth="1"/>
    <col min="21" max="23" width="8" style="198" customWidth="1"/>
    <col min="24" max="24" width="7.5" style="198" customWidth="1"/>
    <col min="25" max="25" width="10.5" style="198" customWidth="1"/>
    <col min="26" max="29" width="7.6640625" style="198" customWidth="1"/>
    <col min="30" max="30" width="10.1640625" style="198" customWidth="1"/>
    <col min="31" max="16384" width="9.1640625" style="198"/>
  </cols>
  <sheetData>
    <row r="1" spans="1:30" x14ac:dyDescent="0.3">
      <c r="I1" s="512" t="s">
        <v>567</v>
      </c>
      <c r="J1" s="512"/>
      <c r="K1" s="512"/>
      <c r="L1" s="512"/>
      <c r="M1" s="512"/>
      <c r="N1" s="512"/>
      <c r="O1" s="512"/>
    </row>
    <row r="2" spans="1:30" s="201" customFormat="1" ht="16" thickBot="1" x14ac:dyDescent="0.4">
      <c r="A2" s="513" t="s">
        <v>568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</row>
    <row r="3" spans="1:30" s="201" customFormat="1" ht="15.5" x14ac:dyDescent="0.35">
      <c r="A3" s="210"/>
      <c r="B3" s="211"/>
      <c r="C3" s="212"/>
      <c r="D3" s="212"/>
      <c r="E3" s="213"/>
      <c r="F3" s="214">
        <v>1110</v>
      </c>
      <c r="G3" s="214">
        <v>1140</v>
      </c>
      <c r="H3" s="214">
        <v>1150</v>
      </c>
      <c r="I3" s="214">
        <v>1210</v>
      </c>
      <c r="J3" s="214">
        <v>1220</v>
      </c>
      <c r="K3" s="214">
        <v>2110</v>
      </c>
      <c r="L3" s="215">
        <v>2120</v>
      </c>
      <c r="M3" s="215">
        <v>2210</v>
      </c>
      <c r="N3" s="215">
        <v>2220</v>
      </c>
      <c r="O3" s="215">
        <v>2230</v>
      </c>
      <c r="P3" s="215">
        <v>2240</v>
      </c>
      <c r="Q3" s="215">
        <v>2250</v>
      </c>
      <c r="R3" s="215">
        <v>2260</v>
      </c>
      <c r="S3" s="214">
        <v>2310</v>
      </c>
      <c r="T3" s="214">
        <v>2320</v>
      </c>
      <c r="U3" s="214">
        <v>2340</v>
      </c>
      <c r="V3" s="214">
        <v>2350</v>
      </c>
      <c r="W3" s="214">
        <v>2360</v>
      </c>
      <c r="X3" s="214">
        <v>2390</v>
      </c>
      <c r="Y3" s="216">
        <v>5110</v>
      </c>
      <c r="Z3" s="216">
        <v>5120</v>
      </c>
      <c r="AA3" s="216">
        <v>5220</v>
      </c>
      <c r="AB3" s="216">
        <v>5230</v>
      </c>
      <c r="AC3" s="216">
        <v>7710</v>
      </c>
      <c r="AD3" s="217"/>
    </row>
    <row r="4" spans="1:30" s="201" customFormat="1" ht="190" customHeight="1" x14ac:dyDescent="0.35">
      <c r="A4" s="294" t="s">
        <v>238</v>
      </c>
      <c r="B4" s="295" t="s">
        <v>239</v>
      </c>
      <c r="C4" s="295" t="s">
        <v>240</v>
      </c>
      <c r="D4" s="295" t="s">
        <v>241</v>
      </c>
      <c r="E4" s="296" t="s">
        <v>242</v>
      </c>
      <c r="F4" s="297" t="s">
        <v>243</v>
      </c>
      <c r="G4" s="297" t="s">
        <v>244</v>
      </c>
      <c r="H4" s="297" t="s">
        <v>245</v>
      </c>
      <c r="I4" s="298" t="s">
        <v>246</v>
      </c>
      <c r="J4" s="298" t="s">
        <v>247</v>
      </c>
      <c r="K4" s="440" t="s">
        <v>248</v>
      </c>
      <c r="L4" s="440" t="s">
        <v>249</v>
      </c>
      <c r="M4" s="440" t="s">
        <v>250</v>
      </c>
      <c r="N4" s="440" t="s">
        <v>251</v>
      </c>
      <c r="O4" s="440" t="s">
        <v>252</v>
      </c>
      <c r="P4" s="440" t="s">
        <v>253</v>
      </c>
      <c r="Q4" s="440" t="s">
        <v>254</v>
      </c>
      <c r="R4" s="440" t="s">
        <v>255</v>
      </c>
      <c r="S4" s="440" t="s">
        <v>256</v>
      </c>
      <c r="T4" s="440" t="s">
        <v>257</v>
      </c>
      <c r="U4" s="440" t="s">
        <v>258</v>
      </c>
      <c r="V4" s="440" t="s">
        <v>259</v>
      </c>
      <c r="W4" s="440" t="s">
        <v>260</v>
      </c>
      <c r="X4" s="440" t="s">
        <v>261</v>
      </c>
      <c r="Y4" s="440" t="s">
        <v>262</v>
      </c>
      <c r="Z4" s="440" t="s">
        <v>263</v>
      </c>
      <c r="AA4" s="440" t="s">
        <v>264</v>
      </c>
      <c r="AB4" s="440" t="s">
        <v>265</v>
      </c>
      <c r="AC4" s="440" t="s">
        <v>266</v>
      </c>
      <c r="AD4" s="300" t="s">
        <v>267</v>
      </c>
    </row>
    <row r="5" spans="1:30" s="218" customFormat="1" ht="11.5" x14ac:dyDescent="0.25">
      <c r="A5" s="315">
        <v>1</v>
      </c>
      <c r="B5" s="441" t="s">
        <v>569</v>
      </c>
      <c r="C5" s="442" t="s">
        <v>570</v>
      </c>
      <c r="D5" s="321" t="s">
        <v>571</v>
      </c>
      <c r="E5" s="443" t="s">
        <v>572</v>
      </c>
      <c r="F5" s="315"/>
      <c r="G5" s="315"/>
      <c r="H5" s="315"/>
      <c r="I5" s="315"/>
      <c r="J5" s="315"/>
      <c r="K5" s="315"/>
      <c r="L5" s="444">
        <v>1000</v>
      </c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445">
        <f t="shared" ref="AD5:AD24" si="0">SUM(F5:AC5)</f>
        <v>1000</v>
      </c>
    </row>
    <row r="6" spans="1:30" s="201" customFormat="1" ht="15.5" x14ac:dyDescent="0.35">
      <c r="A6" s="446">
        <v>2</v>
      </c>
      <c r="B6" s="321" t="s">
        <v>299</v>
      </c>
      <c r="C6" s="325" t="s">
        <v>300</v>
      </c>
      <c r="D6" s="321" t="s">
        <v>301</v>
      </c>
      <c r="E6" s="321" t="s">
        <v>302</v>
      </c>
      <c r="F6" s="311"/>
      <c r="G6" s="311"/>
      <c r="H6" s="311"/>
      <c r="I6" s="311"/>
      <c r="J6" s="311"/>
      <c r="K6" s="311"/>
      <c r="L6" s="311">
        <v>456</v>
      </c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26"/>
      <c r="AA6" s="326"/>
      <c r="AB6" s="326"/>
      <c r="AC6" s="326"/>
      <c r="AD6" s="447">
        <f t="shared" si="0"/>
        <v>456</v>
      </c>
    </row>
    <row r="7" spans="1:30" s="201" customFormat="1" ht="15.5" x14ac:dyDescent="0.35">
      <c r="A7" s="301">
        <v>3</v>
      </c>
      <c r="B7" s="321" t="s">
        <v>573</v>
      </c>
      <c r="C7" s="325" t="s">
        <v>574</v>
      </c>
      <c r="D7" s="321" t="s">
        <v>571</v>
      </c>
      <c r="E7" s="321" t="s">
        <v>572</v>
      </c>
      <c r="F7" s="311"/>
      <c r="G7" s="311"/>
      <c r="H7" s="311"/>
      <c r="I7" s="311"/>
      <c r="J7" s="311"/>
      <c r="K7" s="311"/>
      <c r="L7" s="311">
        <v>1703</v>
      </c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26"/>
      <c r="AA7" s="326"/>
      <c r="AB7" s="326"/>
      <c r="AC7" s="326"/>
      <c r="AD7" s="447">
        <f t="shared" si="0"/>
        <v>1703</v>
      </c>
    </row>
    <row r="8" spans="1:30" s="201" customFormat="1" ht="15.5" x14ac:dyDescent="0.35">
      <c r="A8" s="315">
        <v>4</v>
      </c>
      <c r="B8" s="321" t="s">
        <v>307</v>
      </c>
      <c r="C8" s="325" t="s">
        <v>308</v>
      </c>
      <c r="D8" s="321" t="s">
        <v>305</v>
      </c>
      <c r="E8" s="321" t="s">
        <v>309</v>
      </c>
      <c r="F8" s="311"/>
      <c r="G8" s="311"/>
      <c r="H8" s="311"/>
      <c r="I8" s="311"/>
      <c r="J8" s="311"/>
      <c r="K8" s="311"/>
      <c r="L8" s="311">
        <v>5833</v>
      </c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26"/>
      <c r="AA8" s="326"/>
      <c r="AB8" s="326"/>
      <c r="AC8" s="326"/>
      <c r="AD8" s="447">
        <f t="shared" si="0"/>
        <v>5833</v>
      </c>
    </row>
    <row r="9" spans="1:30" s="201" customFormat="1" ht="15.5" x14ac:dyDescent="0.35">
      <c r="A9" s="446">
        <v>5</v>
      </c>
      <c r="B9" s="321" t="s">
        <v>428</v>
      </c>
      <c r="C9" s="325" t="s">
        <v>313</v>
      </c>
      <c r="D9" s="321" t="s">
        <v>314</v>
      </c>
      <c r="E9" s="321" t="s">
        <v>315</v>
      </c>
      <c r="F9" s="311">
        <v>1045.51</v>
      </c>
      <c r="G9" s="311"/>
      <c r="H9" s="311"/>
      <c r="I9" s="311">
        <v>756.46</v>
      </c>
      <c r="J9" s="311"/>
      <c r="K9" s="311"/>
      <c r="L9" s="311">
        <f>13779.75+1500+1046.33+123.32+217.82+262.8+250</f>
        <v>17180.02</v>
      </c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26"/>
      <c r="AA9" s="326"/>
      <c r="AB9" s="326"/>
      <c r="AC9" s="326"/>
      <c r="AD9" s="447">
        <f t="shared" si="0"/>
        <v>18981.990000000002</v>
      </c>
    </row>
    <row r="10" spans="1:30" s="201" customFormat="1" ht="15.5" x14ac:dyDescent="0.35">
      <c r="A10" s="301">
        <v>6</v>
      </c>
      <c r="B10" s="321" t="s">
        <v>316</v>
      </c>
      <c r="C10" s="325" t="s">
        <v>317</v>
      </c>
      <c r="D10" s="321" t="s">
        <v>305</v>
      </c>
      <c r="E10" s="321" t="s">
        <v>318</v>
      </c>
      <c r="F10" s="311"/>
      <c r="G10" s="311"/>
      <c r="H10" s="311"/>
      <c r="I10" s="311"/>
      <c r="J10" s="311"/>
      <c r="K10" s="311"/>
      <c r="L10" s="311">
        <f>2677.94+1193</f>
        <v>3870.94</v>
      </c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26"/>
      <c r="AA10" s="326"/>
      <c r="AB10" s="326"/>
      <c r="AC10" s="326"/>
      <c r="AD10" s="447">
        <f t="shared" si="0"/>
        <v>3870.94</v>
      </c>
    </row>
    <row r="11" spans="1:30" s="201" customFormat="1" ht="15.5" x14ac:dyDescent="0.35">
      <c r="A11" s="315">
        <v>7</v>
      </c>
      <c r="B11" s="321" t="s">
        <v>319</v>
      </c>
      <c r="C11" s="325" t="s">
        <v>320</v>
      </c>
      <c r="D11" s="321" t="s">
        <v>321</v>
      </c>
      <c r="E11" s="321" t="s">
        <v>322</v>
      </c>
      <c r="F11" s="311"/>
      <c r="G11" s="311"/>
      <c r="H11" s="311"/>
      <c r="I11" s="311"/>
      <c r="J11" s="311"/>
      <c r="K11" s="311"/>
      <c r="L11" s="311">
        <v>977.55</v>
      </c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26"/>
      <c r="AA11" s="326"/>
      <c r="AB11" s="326"/>
      <c r="AC11" s="326"/>
      <c r="AD11" s="447">
        <f t="shared" si="0"/>
        <v>977.55</v>
      </c>
    </row>
    <row r="12" spans="1:30" s="201" customFormat="1" ht="15.5" x14ac:dyDescent="0.35">
      <c r="A12" s="446">
        <v>8</v>
      </c>
      <c r="B12" s="328" t="s">
        <v>429</v>
      </c>
      <c r="C12" s="325" t="s">
        <v>430</v>
      </c>
      <c r="D12" s="321" t="s">
        <v>431</v>
      </c>
      <c r="E12" s="321" t="s">
        <v>432</v>
      </c>
      <c r="F12" s="311"/>
      <c r="G12" s="311"/>
      <c r="H12" s="311"/>
      <c r="I12" s="311"/>
      <c r="J12" s="311"/>
      <c r="K12" s="311"/>
      <c r="L12" s="311">
        <v>1000</v>
      </c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26"/>
      <c r="AA12" s="326"/>
      <c r="AB12" s="326"/>
      <c r="AC12" s="326"/>
      <c r="AD12" s="447">
        <f t="shared" si="0"/>
        <v>1000</v>
      </c>
    </row>
    <row r="13" spans="1:30" s="201" customFormat="1" ht="15.5" x14ac:dyDescent="0.35">
      <c r="A13" s="301">
        <v>9</v>
      </c>
      <c r="B13" s="315" t="s">
        <v>433</v>
      </c>
      <c r="C13" s="316" t="s">
        <v>434</v>
      </c>
      <c r="D13" s="315" t="s">
        <v>305</v>
      </c>
      <c r="E13" s="329"/>
      <c r="F13" s="329"/>
      <c r="G13" s="329"/>
      <c r="H13" s="329"/>
      <c r="I13" s="329"/>
      <c r="J13" s="329"/>
      <c r="K13" s="329">
        <v>3000</v>
      </c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448"/>
      <c r="Z13" s="448"/>
      <c r="AA13" s="448"/>
      <c r="AB13" s="448"/>
      <c r="AC13" s="327"/>
      <c r="AD13" s="447">
        <f t="shared" si="0"/>
        <v>3000</v>
      </c>
    </row>
    <row r="14" spans="1:30" s="201" customFormat="1" ht="15.5" x14ac:dyDescent="0.35">
      <c r="A14" s="315">
        <v>10</v>
      </c>
      <c r="B14" s="315" t="s">
        <v>324</v>
      </c>
      <c r="C14" s="312" t="s">
        <v>325</v>
      </c>
      <c r="D14" s="321" t="s">
        <v>326</v>
      </c>
      <c r="E14" s="315" t="s">
        <v>309</v>
      </c>
      <c r="F14" s="329">
        <v>1045.51</v>
      </c>
      <c r="G14" s="329"/>
      <c r="H14" s="329"/>
      <c r="I14" s="329">
        <v>756.46</v>
      </c>
      <c r="J14" s="329"/>
      <c r="K14" s="329"/>
      <c r="L14" s="329">
        <f>1614+289.91+7690.85+177.2</f>
        <v>9771.9600000000009</v>
      </c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448"/>
      <c r="AA14" s="448"/>
      <c r="AB14" s="448"/>
      <c r="AC14" s="448"/>
      <c r="AD14" s="447">
        <f t="shared" si="0"/>
        <v>11573.93</v>
      </c>
    </row>
    <row r="15" spans="1:30" s="201" customFormat="1" ht="15.5" x14ac:dyDescent="0.35">
      <c r="A15" s="446">
        <v>11</v>
      </c>
      <c r="B15" s="320" t="s">
        <v>437</v>
      </c>
      <c r="C15" s="312" t="s">
        <v>438</v>
      </c>
      <c r="D15" s="321" t="s">
        <v>431</v>
      </c>
      <c r="E15" s="315" t="s">
        <v>439</v>
      </c>
      <c r="F15" s="329"/>
      <c r="G15" s="329"/>
      <c r="H15" s="329"/>
      <c r="I15" s="329"/>
      <c r="J15" s="329"/>
      <c r="K15" s="329"/>
      <c r="L15" s="329">
        <v>1028</v>
      </c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448"/>
      <c r="AA15" s="448"/>
      <c r="AB15" s="448"/>
      <c r="AC15" s="448"/>
      <c r="AD15" s="447">
        <f t="shared" si="0"/>
        <v>1028</v>
      </c>
    </row>
    <row r="16" spans="1:30" s="201" customFormat="1" ht="17" customHeight="1" x14ac:dyDescent="0.35">
      <c r="A16" s="301">
        <v>12</v>
      </c>
      <c r="B16" s="315" t="s">
        <v>440</v>
      </c>
      <c r="C16" s="312" t="s">
        <v>441</v>
      </c>
      <c r="D16" s="321" t="s">
        <v>442</v>
      </c>
      <c r="E16" s="315" t="s">
        <v>443</v>
      </c>
      <c r="F16" s="329"/>
      <c r="G16" s="329"/>
      <c r="H16" s="329"/>
      <c r="I16" s="329"/>
      <c r="J16" s="329"/>
      <c r="K16" s="329"/>
      <c r="L16" s="329">
        <v>3218</v>
      </c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448"/>
      <c r="AA16" s="448"/>
      <c r="AB16" s="448"/>
      <c r="AC16" s="448"/>
      <c r="AD16" s="447">
        <f t="shared" si="0"/>
        <v>3218</v>
      </c>
    </row>
    <row r="17" spans="1:30" s="201" customFormat="1" ht="15.5" x14ac:dyDescent="0.35">
      <c r="A17" s="315">
        <v>13</v>
      </c>
      <c r="B17" s="315" t="s">
        <v>444</v>
      </c>
      <c r="C17" s="312" t="s">
        <v>445</v>
      </c>
      <c r="D17" s="321" t="s">
        <v>446</v>
      </c>
      <c r="E17" s="315" t="s">
        <v>447</v>
      </c>
      <c r="F17" s="329">
        <v>1046</v>
      </c>
      <c r="G17" s="329"/>
      <c r="H17" s="329"/>
      <c r="I17" s="329">
        <v>756</v>
      </c>
      <c r="J17" s="329"/>
      <c r="K17" s="329"/>
      <c r="L17" s="329">
        <v>10000</v>
      </c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448"/>
      <c r="AA17" s="448"/>
      <c r="AB17" s="448"/>
      <c r="AC17" s="448"/>
      <c r="AD17" s="447">
        <f t="shared" si="0"/>
        <v>11802</v>
      </c>
    </row>
    <row r="18" spans="1:30" s="201" customFormat="1" ht="15.5" x14ac:dyDescent="0.35">
      <c r="A18" s="446">
        <v>14</v>
      </c>
      <c r="B18" s="320" t="s">
        <v>448</v>
      </c>
      <c r="C18" s="312" t="s">
        <v>575</v>
      </c>
      <c r="D18" s="321">
        <v>100</v>
      </c>
      <c r="E18" s="315" t="s">
        <v>330</v>
      </c>
      <c r="F18" s="329"/>
      <c r="G18" s="329"/>
      <c r="H18" s="329"/>
      <c r="I18" s="329"/>
      <c r="J18" s="329"/>
      <c r="K18" s="329"/>
      <c r="L18" s="329"/>
      <c r="M18" s="329"/>
      <c r="N18" s="329"/>
      <c r="O18" s="329">
        <f>1555-782</f>
        <v>773</v>
      </c>
      <c r="P18" s="329"/>
      <c r="Q18" s="329"/>
      <c r="R18" s="329"/>
      <c r="S18" s="329">
        <v>499.09</v>
      </c>
      <c r="T18" s="329"/>
      <c r="U18" s="329"/>
      <c r="V18" s="329"/>
      <c r="W18" s="329"/>
      <c r="X18" s="329"/>
      <c r="Y18" s="329"/>
      <c r="Z18" s="448"/>
      <c r="AA18" s="448"/>
      <c r="AB18" s="448"/>
      <c r="AC18" s="448"/>
      <c r="AD18" s="447">
        <f t="shared" si="0"/>
        <v>1272.0899999999999</v>
      </c>
    </row>
    <row r="19" spans="1:30" s="201" customFormat="1" ht="15.5" x14ac:dyDescent="0.35">
      <c r="A19" s="301">
        <v>15</v>
      </c>
      <c r="B19" s="315" t="s">
        <v>450</v>
      </c>
      <c r="C19" s="312" t="s">
        <v>335</v>
      </c>
      <c r="D19" s="315">
        <v>50</v>
      </c>
      <c r="E19" s="315" t="s">
        <v>336</v>
      </c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>
        <v>922.88</v>
      </c>
      <c r="V19" s="329"/>
      <c r="W19" s="329"/>
      <c r="X19" s="329"/>
      <c r="Y19" s="329"/>
      <c r="Z19" s="448"/>
      <c r="AA19" s="448"/>
      <c r="AB19" s="448"/>
      <c r="AC19" s="448"/>
      <c r="AD19" s="447">
        <f t="shared" si="0"/>
        <v>922.88</v>
      </c>
    </row>
    <row r="20" spans="1:30" s="201" customFormat="1" ht="15.5" x14ac:dyDescent="0.35">
      <c r="A20" s="315">
        <v>16</v>
      </c>
      <c r="B20" s="315" t="s">
        <v>450</v>
      </c>
      <c r="C20" s="316" t="s">
        <v>337</v>
      </c>
      <c r="D20" s="315">
        <v>100</v>
      </c>
      <c r="E20" s="315" t="s">
        <v>336</v>
      </c>
      <c r="F20" s="331"/>
      <c r="G20" s="331"/>
      <c r="H20" s="331"/>
      <c r="I20" s="329"/>
      <c r="J20" s="329"/>
      <c r="K20" s="329"/>
      <c r="L20" s="329"/>
      <c r="M20" s="329"/>
      <c r="N20" s="329"/>
      <c r="O20" s="329">
        <v>1730.1</v>
      </c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448"/>
      <c r="AA20" s="448"/>
      <c r="AB20" s="448"/>
      <c r="AC20" s="448"/>
      <c r="AD20" s="447">
        <f t="shared" si="0"/>
        <v>1730.1</v>
      </c>
    </row>
    <row r="21" spans="1:30" s="201" customFormat="1" ht="15.5" x14ac:dyDescent="0.35">
      <c r="A21" s="446">
        <v>17</v>
      </c>
      <c r="B21" s="332" t="s">
        <v>451</v>
      </c>
      <c r="C21" s="449" t="s">
        <v>576</v>
      </c>
      <c r="D21" s="450">
        <v>70</v>
      </c>
      <c r="E21" s="450" t="s">
        <v>131</v>
      </c>
      <c r="F21" s="451"/>
      <c r="G21" s="451"/>
      <c r="H21" s="451"/>
      <c r="I21" s="452"/>
      <c r="J21" s="452"/>
      <c r="K21" s="452"/>
      <c r="L21" s="452"/>
      <c r="M21" s="452"/>
      <c r="N21" s="452"/>
      <c r="O21" s="452">
        <f>500+277.15</f>
        <v>777.15</v>
      </c>
      <c r="P21" s="452"/>
      <c r="Q21" s="452"/>
      <c r="R21" s="452">
        <v>0</v>
      </c>
      <c r="S21" s="452"/>
      <c r="T21" s="452"/>
      <c r="U21" s="452"/>
      <c r="V21" s="452"/>
      <c r="W21" s="452"/>
      <c r="X21" s="452"/>
      <c r="Y21" s="452"/>
      <c r="Z21" s="453"/>
      <c r="AA21" s="453"/>
      <c r="AB21" s="453"/>
      <c r="AC21" s="453"/>
      <c r="AD21" s="447">
        <f t="shared" si="0"/>
        <v>777.15</v>
      </c>
    </row>
    <row r="22" spans="1:30" s="201" customFormat="1" ht="15.5" x14ac:dyDescent="0.35">
      <c r="A22" s="301">
        <v>18</v>
      </c>
      <c r="B22" s="315" t="s">
        <v>450</v>
      </c>
      <c r="C22" s="449" t="s">
        <v>341</v>
      </c>
      <c r="D22" s="450"/>
      <c r="E22" s="450"/>
      <c r="F22" s="451"/>
      <c r="G22" s="451"/>
      <c r="H22" s="451"/>
      <c r="I22" s="452"/>
      <c r="J22" s="452"/>
      <c r="K22" s="452"/>
      <c r="L22" s="452"/>
      <c r="M22" s="452"/>
      <c r="N22" s="452">
        <v>750</v>
      </c>
      <c r="O22" s="452"/>
      <c r="P22" s="452"/>
      <c r="Q22" s="452"/>
      <c r="R22" s="452">
        <v>1000</v>
      </c>
      <c r="S22" s="452"/>
      <c r="T22" s="452"/>
      <c r="U22" s="452"/>
      <c r="V22" s="452"/>
      <c r="W22" s="452"/>
      <c r="X22" s="452"/>
      <c r="Y22" s="452"/>
      <c r="Z22" s="453"/>
      <c r="AA22" s="453"/>
      <c r="AB22" s="453"/>
      <c r="AC22" s="453"/>
      <c r="AD22" s="447">
        <f t="shared" si="0"/>
        <v>1750</v>
      </c>
    </row>
    <row r="23" spans="1:30" s="201" customFormat="1" ht="15.5" x14ac:dyDescent="0.35">
      <c r="A23" s="315">
        <v>19</v>
      </c>
      <c r="B23" s="315" t="s">
        <v>450</v>
      </c>
      <c r="C23" s="449" t="s">
        <v>342</v>
      </c>
      <c r="D23" s="450"/>
      <c r="E23" s="450"/>
      <c r="F23" s="451"/>
      <c r="G23" s="451"/>
      <c r="H23" s="451"/>
      <c r="I23" s="452"/>
      <c r="J23" s="452"/>
      <c r="K23" s="452"/>
      <c r="L23" s="452"/>
      <c r="M23" s="452"/>
      <c r="N23" s="452"/>
      <c r="O23" s="452"/>
      <c r="P23" s="452">
        <v>766</v>
      </c>
      <c r="Q23" s="452"/>
      <c r="R23" s="452"/>
      <c r="S23" s="452"/>
      <c r="T23" s="452"/>
      <c r="U23" s="452"/>
      <c r="V23" s="452"/>
      <c r="W23" s="452"/>
      <c r="X23" s="452"/>
      <c r="Y23" s="452"/>
      <c r="Z23" s="453"/>
      <c r="AA23" s="453"/>
      <c r="AB23" s="453">
        <f>5000+3000</f>
        <v>8000</v>
      </c>
      <c r="AC23" s="453"/>
      <c r="AD23" s="447">
        <f t="shared" si="0"/>
        <v>8766</v>
      </c>
    </row>
    <row r="24" spans="1:30" s="201" customFormat="1" ht="16" thickBot="1" x14ac:dyDescent="0.4">
      <c r="A24" s="446"/>
      <c r="B24" s="339"/>
      <c r="C24" s="340"/>
      <c r="D24" s="341"/>
      <c r="E24" s="340" t="s">
        <v>344</v>
      </c>
      <c r="F24" s="454">
        <f t="shared" ref="F24:K24" si="1">SUM(F6:F23)</f>
        <v>3137.02</v>
      </c>
      <c r="G24" s="342">
        <f t="shared" si="1"/>
        <v>0</v>
      </c>
      <c r="H24" s="342">
        <f t="shared" si="1"/>
        <v>0</v>
      </c>
      <c r="I24" s="342">
        <f t="shared" si="1"/>
        <v>2268.92</v>
      </c>
      <c r="J24" s="342">
        <f t="shared" si="1"/>
        <v>0</v>
      </c>
      <c r="K24" s="342">
        <f t="shared" si="1"/>
        <v>3000</v>
      </c>
      <c r="L24" s="342">
        <f>SUM(L5:L23)</f>
        <v>56038.47</v>
      </c>
      <c r="M24" s="342">
        <f t="shared" ref="M24:AC24" si="2">SUM(M6:M23)</f>
        <v>0</v>
      </c>
      <c r="N24" s="342">
        <f t="shared" si="2"/>
        <v>750</v>
      </c>
      <c r="O24" s="342">
        <f t="shared" si="2"/>
        <v>3280.25</v>
      </c>
      <c r="P24" s="342">
        <f t="shared" si="2"/>
        <v>766</v>
      </c>
      <c r="Q24" s="342">
        <f t="shared" si="2"/>
        <v>0</v>
      </c>
      <c r="R24" s="342">
        <f t="shared" si="2"/>
        <v>1000</v>
      </c>
      <c r="S24" s="342">
        <f t="shared" si="2"/>
        <v>499.09</v>
      </c>
      <c r="T24" s="342">
        <f t="shared" si="2"/>
        <v>0</v>
      </c>
      <c r="U24" s="342">
        <f t="shared" si="2"/>
        <v>922.88</v>
      </c>
      <c r="V24" s="342">
        <f t="shared" si="2"/>
        <v>0</v>
      </c>
      <c r="W24" s="342">
        <f t="shared" si="2"/>
        <v>0</v>
      </c>
      <c r="X24" s="342">
        <f t="shared" si="2"/>
        <v>0</v>
      </c>
      <c r="Y24" s="342">
        <f t="shared" si="2"/>
        <v>0</v>
      </c>
      <c r="Z24" s="342">
        <f t="shared" si="2"/>
        <v>0</v>
      </c>
      <c r="AA24" s="342">
        <f t="shared" si="2"/>
        <v>0</v>
      </c>
      <c r="AB24" s="342">
        <f t="shared" si="2"/>
        <v>8000</v>
      </c>
      <c r="AC24" s="342">
        <f t="shared" si="2"/>
        <v>0</v>
      </c>
      <c r="AD24" s="445">
        <f t="shared" si="0"/>
        <v>79662.63</v>
      </c>
    </row>
    <row r="25" spans="1:30" s="201" customFormat="1" ht="15.5" x14ac:dyDescent="0.35">
      <c r="A25" s="218"/>
      <c r="B25" s="219"/>
      <c r="C25" s="219"/>
      <c r="D25" s="220"/>
      <c r="E25" s="219"/>
      <c r="F25" s="221"/>
      <c r="G25" s="221"/>
      <c r="H25" s="221"/>
      <c r="I25" s="222"/>
      <c r="J25" s="222"/>
      <c r="K25" s="222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AA25" s="223"/>
      <c r="AB25" s="223"/>
      <c r="AC25" s="223"/>
      <c r="AD25" s="224"/>
    </row>
    <row r="26" spans="1:30" ht="15" x14ac:dyDescent="0.3">
      <c r="Y26" s="289"/>
    </row>
    <row r="27" spans="1:30" ht="15" x14ac:dyDescent="0.3">
      <c r="A27" s="514" t="s">
        <v>577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</row>
    <row r="28" spans="1:30" x14ac:dyDescent="0.3">
      <c r="A28" s="455" t="s">
        <v>578</v>
      </c>
      <c r="B28" s="456" t="s">
        <v>579</v>
      </c>
      <c r="C28" s="456" t="s">
        <v>580</v>
      </c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8"/>
    </row>
    <row r="29" spans="1:30" x14ac:dyDescent="0.3">
      <c r="A29" s="459">
        <v>2</v>
      </c>
      <c r="B29" s="460" t="s">
        <v>581</v>
      </c>
      <c r="C29" s="461">
        <f>L8+F9+I9+L9+L10+L11+L12+L14+K13+F14+I14+F17+I17+L17+L15+L16+O18+S18+O20+U19+O21+N22+R22+P23+5000</f>
        <v>73503.62999999999</v>
      </c>
      <c r="AC29" s="290"/>
    </row>
    <row r="30" spans="1:30" x14ac:dyDescent="0.3">
      <c r="A30" s="459">
        <v>3</v>
      </c>
      <c r="B30" s="460" t="s">
        <v>582</v>
      </c>
      <c r="C30" s="461">
        <f>L6</f>
        <v>456</v>
      </c>
    </row>
    <row r="31" spans="1:30" x14ac:dyDescent="0.3">
      <c r="A31" s="459">
        <v>4</v>
      </c>
      <c r="B31" s="460" t="s">
        <v>583</v>
      </c>
      <c r="C31" s="462">
        <v>3000</v>
      </c>
    </row>
    <row r="32" spans="1:30" x14ac:dyDescent="0.3">
      <c r="A32" s="459">
        <v>5</v>
      </c>
      <c r="B32" s="460" t="s">
        <v>584</v>
      </c>
      <c r="C32" s="461">
        <f>L5+L7</f>
        <v>2703</v>
      </c>
    </row>
    <row r="33" spans="1:30" x14ac:dyDescent="0.3">
      <c r="C33" s="457" t="s">
        <v>585</v>
      </c>
      <c r="D33" s="458">
        <f>SUM(C29:C32)</f>
        <v>79662.62999999999</v>
      </c>
    </row>
    <row r="34" spans="1:30" x14ac:dyDescent="0.3">
      <c r="C34" s="198" t="s">
        <v>586</v>
      </c>
      <c r="D34" s="290">
        <f>D33-AD24</f>
        <v>0</v>
      </c>
    </row>
    <row r="36" spans="1:30" x14ac:dyDescent="0.3">
      <c r="I36" s="512" t="s">
        <v>625</v>
      </c>
      <c r="J36" s="512"/>
      <c r="K36" s="512"/>
      <c r="L36" s="512"/>
      <c r="M36" s="512"/>
      <c r="N36" s="512"/>
      <c r="O36" s="512"/>
    </row>
    <row r="37" spans="1:30" s="201" customFormat="1" ht="16" thickBot="1" x14ac:dyDescent="0.4">
      <c r="A37" s="513" t="s">
        <v>568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</row>
    <row r="38" spans="1:30" x14ac:dyDescent="0.3">
      <c r="A38" s="210"/>
      <c r="B38" s="211"/>
      <c r="C38" s="212"/>
      <c r="D38" s="212"/>
      <c r="E38" s="213"/>
      <c r="F38" s="214">
        <v>1110</v>
      </c>
      <c r="G38" s="214">
        <v>1140</v>
      </c>
      <c r="H38" s="214">
        <v>1150</v>
      </c>
      <c r="I38" s="214">
        <v>1210</v>
      </c>
      <c r="J38" s="214">
        <v>1220</v>
      </c>
      <c r="K38" s="214">
        <v>2110</v>
      </c>
      <c r="L38" s="215">
        <v>2120</v>
      </c>
      <c r="M38" s="215">
        <v>2210</v>
      </c>
      <c r="N38" s="215">
        <v>2220</v>
      </c>
      <c r="O38" s="215">
        <v>2230</v>
      </c>
      <c r="P38" s="215">
        <v>2240</v>
      </c>
      <c r="Q38" s="215">
        <v>2250</v>
      </c>
      <c r="R38" s="215">
        <v>2260</v>
      </c>
      <c r="S38" s="214">
        <v>2310</v>
      </c>
      <c r="T38" s="214">
        <v>2320</v>
      </c>
      <c r="U38" s="214">
        <v>2340</v>
      </c>
      <c r="V38" s="214">
        <v>2350</v>
      </c>
      <c r="W38" s="214">
        <v>2360</v>
      </c>
      <c r="X38" s="214">
        <v>2390</v>
      </c>
      <c r="Y38" s="216">
        <v>5110</v>
      </c>
      <c r="Z38" s="216">
        <v>5120</v>
      </c>
      <c r="AA38" s="216">
        <v>5220</v>
      </c>
      <c r="AB38" s="216">
        <v>5230</v>
      </c>
      <c r="AC38" s="216">
        <v>7710</v>
      </c>
      <c r="AD38" s="217"/>
    </row>
    <row r="39" spans="1:30" ht="193" x14ac:dyDescent="0.3">
      <c r="A39" s="294" t="s">
        <v>238</v>
      </c>
      <c r="B39" s="295" t="s">
        <v>239</v>
      </c>
      <c r="C39" s="295" t="s">
        <v>240</v>
      </c>
      <c r="D39" s="295" t="s">
        <v>241</v>
      </c>
      <c r="E39" s="296" t="s">
        <v>242</v>
      </c>
      <c r="F39" s="297" t="s">
        <v>243</v>
      </c>
      <c r="G39" s="297" t="s">
        <v>244</v>
      </c>
      <c r="H39" s="297" t="s">
        <v>245</v>
      </c>
      <c r="I39" s="298" t="s">
        <v>246</v>
      </c>
      <c r="J39" s="298" t="s">
        <v>247</v>
      </c>
      <c r="K39" s="440" t="s">
        <v>248</v>
      </c>
      <c r="L39" s="440" t="s">
        <v>249</v>
      </c>
      <c r="M39" s="440" t="s">
        <v>250</v>
      </c>
      <c r="N39" s="440" t="s">
        <v>251</v>
      </c>
      <c r="O39" s="440" t="s">
        <v>252</v>
      </c>
      <c r="P39" s="440" t="s">
        <v>253</v>
      </c>
      <c r="Q39" s="440" t="s">
        <v>254</v>
      </c>
      <c r="R39" s="440" t="s">
        <v>255</v>
      </c>
      <c r="S39" s="440" t="s">
        <v>256</v>
      </c>
      <c r="T39" s="440" t="s">
        <v>257</v>
      </c>
      <c r="U39" s="440" t="s">
        <v>258</v>
      </c>
      <c r="V39" s="440" t="s">
        <v>259</v>
      </c>
      <c r="W39" s="440" t="s">
        <v>260</v>
      </c>
      <c r="X39" s="440" t="s">
        <v>261</v>
      </c>
      <c r="Y39" s="440" t="s">
        <v>262</v>
      </c>
      <c r="Z39" s="440" t="s">
        <v>263</v>
      </c>
      <c r="AA39" s="440" t="s">
        <v>264</v>
      </c>
      <c r="AB39" s="440" t="s">
        <v>265</v>
      </c>
      <c r="AC39" s="440" t="s">
        <v>266</v>
      </c>
      <c r="AD39" s="300" t="s">
        <v>267</v>
      </c>
    </row>
    <row r="40" spans="1:30" x14ac:dyDescent="0.3">
      <c r="A40" s="315">
        <v>1</v>
      </c>
      <c r="B40" s="441" t="s">
        <v>587</v>
      </c>
      <c r="C40" s="442" t="s">
        <v>588</v>
      </c>
      <c r="D40" s="321" t="s">
        <v>571</v>
      </c>
      <c r="E40" s="443" t="s">
        <v>589</v>
      </c>
      <c r="F40" s="315"/>
      <c r="G40" s="315"/>
      <c r="H40" s="315"/>
      <c r="I40" s="315"/>
      <c r="J40" s="315"/>
      <c r="K40" s="315"/>
      <c r="L40" s="444">
        <v>5000</v>
      </c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445">
        <f>SUM(F40:AC40)</f>
        <v>5000</v>
      </c>
    </row>
    <row r="41" spans="1:30" x14ac:dyDescent="0.3">
      <c r="A41" s="315">
        <v>2</v>
      </c>
      <c r="B41" s="441" t="s">
        <v>590</v>
      </c>
      <c r="C41" s="442" t="s">
        <v>591</v>
      </c>
      <c r="D41" s="321" t="s">
        <v>571</v>
      </c>
      <c r="E41" s="443" t="s">
        <v>572</v>
      </c>
      <c r="F41" s="315"/>
      <c r="G41" s="315"/>
      <c r="H41" s="315"/>
      <c r="I41" s="315"/>
      <c r="J41" s="315"/>
      <c r="K41" s="315"/>
      <c r="L41" s="444">
        <v>1200</v>
      </c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445">
        <f>SUM(F41:AC41)</f>
        <v>1200</v>
      </c>
    </row>
    <row r="42" spans="1:30" x14ac:dyDescent="0.3">
      <c r="A42" s="446">
        <v>3</v>
      </c>
      <c r="B42" s="321" t="s">
        <v>299</v>
      </c>
      <c r="C42" s="325" t="s">
        <v>300</v>
      </c>
      <c r="D42" s="321" t="s">
        <v>301</v>
      </c>
      <c r="E42" s="321" t="s">
        <v>302</v>
      </c>
      <c r="F42" s="311"/>
      <c r="G42" s="311"/>
      <c r="H42" s="311"/>
      <c r="I42" s="311"/>
      <c r="J42" s="311"/>
      <c r="K42" s="311"/>
      <c r="L42" s="311">
        <v>1000</v>
      </c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26"/>
      <c r="AA42" s="326"/>
      <c r="AB42" s="326"/>
      <c r="AC42" s="326"/>
      <c r="AD42" s="447">
        <f>SUM(F42:AC42)</f>
        <v>1000</v>
      </c>
    </row>
    <row r="43" spans="1:30" x14ac:dyDescent="0.3">
      <c r="A43" s="315">
        <v>4</v>
      </c>
      <c r="B43" s="328">
        <v>45437</v>
      </c>
      <c r="C43" s="325" t="s">
        <v>430</v>
      </c>
      <c r="D43" s="321" t="s">
        <v>592</v>
      </c>
      <c r="E43" s="321" t="s">
        <v>593</v>
      </c>
      <c r="F43" s="311"/>
      <c r="G43" s="311"/>
      <c r="H43" s="311"/>
      <c r="I43" s="311"/>
      <c r="J43" s="311"/>
      <c r="K43" s="311"/>
      <c r="L43" s="311">
        <v>3000</v>
      </c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26"/>
      <c r="AA43" s="326"/>
      <c r="AB43" s="326"/>
      <c r="AC43" s="326"/>
      <c r="AD43" s="447">
        <f>SUM(F43:AC43)</f>
        <v>3000</v>
      </c>
    </row>
    <row r="44" spans="1:30" x14ac:dyDescent="0.3">
      <c r="A44" s="315">
        <v>5</v>
      </c>
      <c r="B44" s="463" t="s">
        <v>594</v>
      </c>
      <c r="C44" s="325" t="s">
        <v>595</v>
      </c>
      <c r="D44" s="321" t="s">
        <v>305</v>
      </c>
      <c r="E44" s="464" t="s">
        <v>333</v>
      </c>
      <c r="F44" s="321"/>
      <c r="G44" s="321"/>
      <c r="H44" s="321"/>
      <c r="I44" s="321"/>
      <c r="J44" s="321"/>
      <c r="K44" s="321"/>
      <c r="L44" s="465">
        <v>3500</v>
      </c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466"/>
      <c r="AA44" s="466"/>
      <c r="AB44" s="466"/>
      <c r="AC44" s="466"/>
      <c r="AD44" s="445"/>
    </row>
    <row r="45" spans="1:30" x14ac:dyDescent="0.3">
      <c r="A45" s="446">
        <v>6</v>
      </c>
      <c r="B45" s="321" t="s">
        <v>596</v>
      </c>
      <c r="C45" s="325" t="s">
        <v>597</v>
      </c>
      <c r="D45" s="321" t="s">
        <v>305</v>
      </c>
      <c r="E45" s="321" t="s">
        <v>598</v>
      </c>
      <c r="F45" s="311"/>
      <c r="G45" s="311"/>
      <c r="H45" s="311"/>
      <c r="I45" s="311"/>
      <c r="J45" s="311"/>
      <c r="K45" s="311"/>
      <c r="L45" s="311">
        <v>2500</v>
      </c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26"/>
      <c r="AA45" s="326"/>
      <c r="AB45" s="326"/>
      <c r="AC45" s="326"/>
      <c r="AD45" s="447"/>
    </row>
    <row r="46" spans="1:30" x14ac:dyDescent="0.3">
      <c r="A46" s="315">
        <v>7</v>
      </c>
      <c r="B46" s="321" t="s">
        <v>599</v>
      </c>
      <c r="C46" s="325" t="s">
        <v>600</v>
      </c>
      <c r="D46" s="321" t="s">
        <v>571</v>
      </c>
      <c r="E46" s="321" t="s">
        <v>601</v>
      </c>
      <c r="F46" s="311"/>
      <c r="G46" s="311"/>
      <c r="H46" s="311"/>
      <c r="I46" s="311"/>
      <c r="J46" s="311"/>
      <c r="K46" s="311"/>
      <c r="L46" s="311">
        <v>3500</v>
      </c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26"/>
      <c r="AA46" s="326"/>
      <c r="AB46" s="326"/>
      <c r="AC46" s="326"/>
      <c r="AD46" s="447"/>
    </row>
    <row r="47" spans="1:30" x14ac:dyDescent="0.3">
      <c r="A47" s="315">
        <v>8</v>
      </c>
      <c r="B47" s="321" t="s">
        <v>602</v>
      </c>
      <c r="C47" s="325" t="s">
        <v>603</v>
      </c>
      <c r="D47" s="321" t="s">
        <v>305</v>
      </c>
      <c r="E47" s="321" t="s">
        <v>604</v>
      </c>
      <c r="F47" s="311"/>
      <c r="G47" s="311"/>
      <c r="H47" s="311"/>
      <c r="I47" s="311"/>
      <c r="J47" s="311"/>
      <c r="K47" s="311"/>
      <c r="L47" s="311">
        <v>3500</v>
      </c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26"/>
      <c r="AA47" s="326"/>
      <c r="AB47" s="326"/>
      <c r="AC47" s="326"/>
      <c r="AD47" s="447">
        <f>SUM(F47:AC47)</f>
        <v>3500</v>
      </c>
    </row>
    <row r="48" spans="1:30" x14ac:dyDescent="0.3">
      <c r="A48" s="446">
        <v>9</v>
      </c>
      <c r="B48" s="321" t="s">
        <v>605</v>
      </c>
      <c r="C48" s="325" t="s">
        <v>606</v>
      </c>
      <c r="D48" s="321"/>
      <c r="E48" s="321" t="s">
        <v>572</v>
      </c>
      <c r="F48" s="311"/>
      <c r="G48" s="311"/>
      <c r="H48" s="311"/>
      <c r="I48" s="311"/>
      <c r="J48" s="311"/>
      <c r="K48" s="311"/>
      <c r="L48" s="311">
        <v>6000</v>
      </c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26"/>
      <c r="AA48" s="326"/>
      <c r="AB48" s="326"/>
      <c r="AC48" s="326"/>
      <c r="AD48" s="447"/>
    </row>
    <row r="49" spans="1:30" x14ac:dyDescent="0.3">
      <c r="A49" s="315">
        <v>10</v>
      </c>
      <c r="B49" s="321" t="s">
        <v>607</v>
      </c>
      <c r="C49" s="325" t="s">
        <v>608</v>
      </c>
      <c r="D49" s="321" t="s">
        <v>305</v>
      </c>
      <c r="E49" s="321" t="s">
        <v>318</v>
      </c>
      <c r="F49" s="311"/>
      <c r="G49" s="311"/>
      <c r="H49" s="311"/>
      <c r="I49" s="311"/>
      <c r="J49" s="311"/>
      <c r="K49" s="311"/>
      <c r="L49" s="311">
        <v>3500</v>
      </c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26"/>
      <c r="AA49" s="326"/>
      <c r="AB49" s="326"/>
      <c r="AC49" s="326"/>
      <c r="AD49" s="447">
        <f t="shared" ref="AD49:AD63" si="3">SUM(F49:AC49)</f>
        <v>3500</v>
      </c>
    </row>
    <row r="50" spans="1:30" x14ac:dyDescent="0.3">
      <c r="A50" s="446">
        <v>12</v>
      </c>
      <c r="B50" s="321" t="s">
        <v>316</v>
      </c>
      <c r="C50" s="325" t="s">
        <v>609</v>
      </c>
      <c r="D50" s="321" t="s">
        <v>305</v>
      </c>
      <c r="E50" s="321" t="s">
        <v>318</v>
      </c>
      <c r="F50" s="311"/>
      <c r="G50" s="311"/>
      <c r="H50" s="311"/>
      <c r="I50" s="311"/>
      <c r="J50" s="311"/>
      <c r="K50" s="311"/>
      <c r="L50" s="311">
        <v>3900</v>
      </c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26"/>
      <c r="AA50" s="326"/>
      <c r="AB50" s="326"/>
      <c r="AC50" s="326"/>
      <c r="AD50" s="447">
        <f t="shared" si="3"/>
        <v>3900</v>
      </c>
    </row>
    <row r="51" spans="1:30" x14ac:dyDescent="0.3">
      <c r="A51" s="315">
        <v>13</v>
      </c>
      <c r="B51" s="321" t="s">
        <v>319</v>
      </c>
      <c r="C51" s="325" t="s">
        <v>610</v>
      </c>
      <c r="D51" s="321" t="s">
        <v>321</v>
      </c>
      <c r="E51" s="321" t="s">
        <v>322</v>
      </c>
      <c r="F51" s="311"/>
      <c r="G51" s="311"/>
      <c r="H51" s="311"/>
      <c r="I51" s="311"/>
      <c r="J51" s="311"/>
      <c r="K51" s="311"/>
      <c r="L51" s="311">
        <v>1000</v>
      </c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26"/>
      <c r="AA51" s="326"/>
      <c r="AB51" s="326"/>
      <c r="AC51" s="326"/>
      <c r="AD51" s="447">
        <f t="shared" si="3"/>
        <v>1000</v>
      </c>
    </row>
    <row r="52" spans="1:30" x14ac:dyDescent="0.3">
      <c r="A52" s="315">
        <v>14</v>
      </c>
      <c r="B52" s="321" t="s">
        <v>611</v>
      </c>
      <c r="C52" s="325" t="s">
        <v>612</v>
      </c>
      <c r="D52" s="321">
        <v>8</v>
      </c>
      <c r="E52" s="321" t="s">
        <v>613</v>
      </c>
      <c r="F52" s="311"/>
      <c r="G52" s="311"/>
      <c r="H52" s="311"/>
      <c r="I52" s="311"/>
      <c r="J52" s="311"/>
      <c r="K52" s="311"/>
      <c r="L52" s="311">
        <f>2500+1000</f>
        <v>3500</v>
      </c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26"/>
      <c r="AA52" s="326"/>
      <c r="AB52" s="326"/>
      <c r="AC52" s="326"/>
      <c r="AD52" s="447">
        <f t="shared" si="3"/>
        <v>3500</v>
      </c>
    </row>
    <row r="53" spans="1:30" x14ac:dyDescent="0.3">
      <c r="A53" s="446">
        <v>15</v>
      </c>
      <c r="B53" s="328" t="s">
        <v>429</v>
      </c>
      <c r="C53" s="325" t="s">
        <v>430</v>
      </c>
      <c r="D53" s="321" t="s">
        <v>431</v>
      </c>
      <c r="E53" s="321" t="s">
        <v>593</v>
      </c>
      <c r="F53" s="311"/>
      <c r="G53" s="311"/>
      <c r="H53" s="311"/>
      <c r="I53" s="311"/>
      <c r="J53" s="311"/>
      <c r="K53" s="311"/>
      <c r="L53" s="311">
        <v>3500</v>
      </c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26"/>
      <c r="AA53" s="326"/>
      <c r="AB53" s="326"/>
      <c r="AC53" s="326"/>
      <c r="AD53" s="447">
        <f t="shared" si="3"/>
        <v>3500</v>
      </c>
    </row>
    <row r="54" spans="1:30" x14ac:dyDescent="0.3">
      <c r="A54" s="315">
        <v>16</v>
      </c>
      <c r="B54" s="315" t="s">
        <v>614</v>
      </c>
      <c r="C54" s="312" t="s">
        <v>615</v>
      </c>
      <c r="D54" s="321" t="s">
        <v>326</v>
      </c>
      <c r="E54" s="315" t="s">
        <v>616</v>
      </c>
      <c r="F54" s="329"/>
      <c r="G54" s="329"/>
      <c r="H54" s="329"/>
      <c r="I54" s="329"/>
      <c r="J54" s="329"/>
      <c r="K54" s="329"/>
      <c r="L54" s="329">
        <v>12000</v>
      </c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448"/>
      <c r="AA54" s="448"/>
      <c r="AB54" s="448"/>
      <c r="AC54" s="448"/>
      <c r="AD54" s="447">
        <f t="shared" si="3"/>
        <v>12000</v>
      </c>
    </row>
    <row r="55" spans="1:30" x14ac:dyDescent="0.3">
      <c r="A55" s="315">
        <v>11</v>
      </c>
      <c r="B55" s="321" t="s">
        <v>428</v>
      </c>
      <c r="C55" s="325" t="s">
        <v>617</v>
      </c>
      <c r="D55" s="321" t="s">
        <v>618</v>
      </c>
      <c r="E55" s="321" t="s">
        <v>315</v>
      </c>
      <c r="F55" s="311"/>
      <c r="G55" s="311"/>
      <c r="H55" s="311"/>
      <c r="I55" s="311"/>
      <c r="J55" s="311"/>
      <c r="K55" s="311"/>
      <c r="L55" s="311">
        <v>15000</v>
      </c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26"/>
      <c r="AA55" s="326"/>
      <c r="AB55" s="326"/>
      <c r="AC55" s="326"/>
      <c r="AD55" s="447">
        <f t="shared" si="3"/>
        <v>15000</v>
      </c>
    </row>
    <row r="56" spans="1:30" x14ac:dyDescent="0.3">
      <c r="A56" s="315">
        <v>17</v>
      </c>
      <c r="B56" s="315" t="s">
        <v>440</v>
      </c>
      <c r="C56" s="312" t="s">
        <v>441</v>
      </c>
      <c r="D56" s="321" t="s">
        <v>442</v>
      </c>
      <c r="E56" s="315" t="s">
        <v>443</v>
      </c>
      <c r="F56" s="329"/>
      <c r="G56" s="329"/>
      <c r="H56" s="329"/>
      <c r="I56" s="329"/>
      <c r="J56" s="329"/>
      <c r="K56" s="329"/>
      <c r="L56" s="329">
        <v>1500</v>
      </c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448"/>
      <c r="AA56" s="448"/>
      <c r="AB56" s="448"/>
      <c r="AC56" s="448"/>
      <c r="AD56" s="447">
        <f t="shared" si="3"/>
        <v>1500</v>
      </c>
    </row>
    <row r="57" spans="1:30" x14ac:dyDescent="0.3">
      <c r="A57" s="446">
        <v>18</v>
      </c>
      <c r="B57" s="315" t="s">
        <v>444</v>
      </c>
      <c r="C57" s="312" t="s">
        <v>445</v>
      </c>
      <c r="D57" s="321" t="s">
        <v>446</v>
      </c>
      <c r="E57" s="315" t="s">
        <v>447</v>
      </c>
      <c r="F57" s="329"/>
      <c r="G57" s="329"/>
      <c r="H57" s="329"/>
      <c r="I57" s="329"/>
      <c r="J57" s="329"/>
      <c r="K57" s="329"/>
      <c r="L57" s="329">
        <f>5000-659.8</f>
        <v>4340.2</v>
      </c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448"/>
      <c r="AA57" s="448"/>
      <c r="AB57" s="448"/>
      <c r="AC57" s="448"/>
      <c r="AD57" s="447">
        <f t="shared" si="3"/>
        <v>4340.2</v>
      </c>
    </row>
    <row r="58" spans="1:30" x14ac:dyDescent="0.3">
      <c r="A58" s="315">
        <v>19</v>
      </c>
      <c r="B58" s="320" t="s">
        <v>448</v>
      </c>
      <c r="C58" s="312" t="s">
        <v>575</v>
      </c>
      <c r="D58" s="321">
        <v>100</v>
      </c>
      <c r="E58" s="315" t="s">
        <v>330</v>
      </c>
      <c r="F58" s="329"/>
      <c r="G58" s="329"/>
      <c r="H58" s="329"/>
      <c r="I58" s="329"/>
      <c r="J58" s="329"/>
      <c r="K58" s="329"/>
      <c r="L58" s="329"/>
      <c r="M58" s="329"/>
      <c r="N58" s="329"/>
      <c r="O58" s="329">
        <f>1555-782</f>
        <v>773</v>
      </c>
      <c r="P58" s="329"/>
      <c r="Q58" s="329"/>
      <c r="R58" s="329"/>
      <c r="S58" s="329">
        <v>499.09</v>
      </c>
      <c r="T58" s="329"/>
      <c r="U58" s="329"/>
      <c r="V58" s="329"/>
      <c r="W58" s="329"/>
      <c r="X58" s="329"/>
      <c r="Y58" s="329"/>
      <c r="Z58" s="448"/>
      <c r="AA58" s="448"/>
      <c r="AB58" s="448"/>
      <c r="AC58" s="448"/>
      <c r="AD58" s="447">
        <f t="shared" si="3"/>
        <v>1272.0899999999999</v>
      </c>
    </row>
    <row r="59" spans="1:30" x14ac:dyDescent="0.3">
      <c r="A59" s="315">
        <v>20</v>
      </c>
      <c r="B59" s="315" t="s">
        <v>450</v>
      </c>
      <c r="C59" s="312" t="s">
        <v>335</v>
      </c>
      <c r="D59" s="315">
        <v>100</v>
      </c>
      <c r="E59" s="315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>
        <v>1000</v>
      </c>
      <c r="V59" s="329"/>
      <c r="W59" s="329"/>
      <c r="X59" s="329"/>
      <c r="Y59" s="329"/>
      <c r="Z59" s="448"/>
      <c r="AA59" s="448"/>
      <c r="AB59" s="448"/>
      <c r="AC59" s="448"/>
      <c r="AD59" s="447">
        <f t="shared" si="3"/>
        <v>1000</v>
      </c>
    </row>
    <row r="60" spans="1:30" x14ac:dyDescent="0.3">
      <c r="A60" s="446">
        <v>21</v>
      </c>
      <c r="B60" s="315" t="s">
        <v>450</v>
      </c>
      <c r="C60" s="316" t="s">
        <v>619</v>
      </c>
      <c r="D60" s="315">
        <v>100</v>
      </c>
      <c r="E60" s="315" t="s">
        <v>336</v>
      </c>
      <c r="F60" s="331"/>
      <c r="G60" s="331"/>
      <c r="H60" s="331"/>
      <c r="I60" s="329"/>
      <c r="J60" s="329"/>
      <c r="K60" s="329"/>
      <c r="L60" s="329"/>
      <c r="M60" s="329"/>
      <c r="N60" s="329"/>
      <c r="O60" s="329">
        <v>6000</v>
      </c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448"/>
      <c r="AA60" s="448"/>
      <c r="AB60" s="448"/>
      <c r="AC60" s="448"/>
      <c r="AD60" s="447">
        <f t="shared" si="3"/>
        <v>6000</v>
      </c>
    </row>
    <row r="61" spans="1:30" x14ac:dyDescent="0.3">
      <c r="A61" s="315">
        <v>22</v>
      </c>
      <c r="B61" s="332" t="s">
        <v>451</v>
      </c>
      <c r="C61" s="449" t="s">
        <v>576</v>
      </c>
      <c r="D61" s="450">
        <v>70</v>
      </c>
      <c r="E61" s="450" t="s">
        <v>131</v>
      </c>
      <c r="F61" s="451"/>
      <c r="G61" s="451"/>
      <c r="H61" s="451"/>
      <c r="I61" s="452"/>
      <c r="J61" s="452"/>
      <c r="K61" s="452"/>
      <c r="L61" s="452"/>
      <c r="M61" s="452"/>
      <c r="N61" s="452"/>
      <c r="O61" s="452">
        <f>500+277.15</f>
        <v>777.15</v>
      </c>
      <c r="P61" s="452"/>
      <c r="Q61" s="452"/>
      <c r="R61" s="452">
        <v>0</v>
      </c>
      <c r="S61" s="452"/>
      <c r="T61" s="452"/>
      <c r="U61" s="452"/>
      <c r="V61" s="452"/>
      <c r="W61" s="452"/>
      <c r="X61" s="452"/>
      <c r="Y61" s="452"/>
      <c r="Z61" s="453"/>
      <c r="AA61" s="453"/>
      <c r="AB61" s="453"/>
      <c r="AC61" s="453"/>
      <c r="AD61" s="447">
        <f t="shared" si="3"/>
        <v>777.15</v>
      </c>
    </row>
    <row r="62" spans="1:30" x14ac:dyDescent="0.3">
      <c r="A62" s="315">
        <v>23</v>
      </c>
      <c r="B62" s="315" t="s">
        <v>450</v>
      </c>
      <c r="C62" s="449" t="s">
        <v>342</v>
      </c>
      <c r="D62" s="450"/>
      <c r="E62" s="450"/>
      <c r="F62" s="451"/>
      <c r="G62" s="451"/>
      <c r="H62" s="451"/>
      <c r="I62" s="452"/>
      <c r="J62" s="452"/>
      <c r="K62" s="452"/>
      <c r="L62" s="452"/>
      <c r="M62" s="452"/>
      <c r="N62" s="452"/>
      <c r="O62" s="452"/>
      <c r="P62" s="452">
        <v>766</v>
      </c>
      <c r="Q62" s="452"/>
      <c r="R62" s="452"/>
      <c r="S62" s="452"/>
      <c r="T62" s="452"/>
      <c r="U62" s="452"/>
      <c r="V62" s="452"/>
      <c r="W62" s="452"/>
      <c r="X62" s="452"/>
      <c r="Y62" s="452"/>
      <c r="Z62" s="453"/>
      <c r="AA62" s="453"/>
      <c r="AB62" s="453">
        <v>3000</v>
      </c>
      <c r="AC62" s="453"/>
      <c r="AD62" s="447">
        <f t="shared" si="3"/>
        <v>3766</v>
      </c>
    </row>
    <row r="63" spans="1:30" ht="13.5" thickBot="1" x14ac:dyDescent="0.35">
      <c r="A63" s="446"/>
      <c r="B63" s="339"/>
      <c r="C63" s="340"/>
      <c r="D63" s="341"/>
      <c r="E63" s="340" t="s">
        <v>344</v>
      </c>
      <c r="F63" s="454">
        <f t="shared" ref="F63:K63" si="4">SUM(F42:F62)</f>
        <v>0</v>
      </c>
      <c r="G63" s="342">
        <f t="shared" si="4"/>
        <v>0</v>
      </c>
      <c r="H63" s="342">
        <f t="shared" si="4"/>
        <v>0</v>
      </c>
      <c r="I63" s="342">
        <f t="shared" si="4"/>
        <v>0</v>
      </c>
      <c r="J63" s="342">
        <f t="shared" si="4"/>
        <v>0</v>
      </c>
      <c r="K63" s="342">
        <f t="shared" si="4"/>
        <v>0</v>
      </c>
      <c r="L63" s="342">
        <f>SUM(L40:L62)</f>
        <v>77440.2</v>
      </c>
      <c r="M63" s="342">
        <f t="shared" ref="M63:AC63" si="5">SUM(M42:M62)</f>
        <v>0</v>
      </c>
      <c r="N63" s="342">
        <f t="shared" si="5"/>
        <v>0</v>
      </c>
      <c r="O63" s="342">
        <f t="shared" si="5"/>
        <v>7550.15</v>
      </c>
      <c r="P63" s="342">
        <f t="shared" si="5"/>
        <v>766</v>
      </c>
      <c r="Q63" s="342">
        <f t="shared" si="5"/>
        <v>0</v>
      </c>
      <c r="R63" s="342">
        <f t="shared" si="5"/>
        <v>0</v>
      </c>
      <c r="S63" s="342">
        <f t="shared" si="5"/>
        <v>499.09</v>
      </c>
      <c r="T63" s="342">
        <f t="shared" si="5"/>
        <v>0</v>
      </c>
      <c r="U63" s="342">
        <f t="shared" si="5"/>
        <v>1000</v>
      </c>
      <c r="V63" s="342">
        <f t="shared" si="5"/>
        <v>0</v>
      </c>
      <c r="W63" s="342">
        <f t="shared" si="5"/>
        <v>0</v>
      </c>
      <c r="X63" s="342">
        <f t="shared" si="5"/>
        <v>0</v>
      </c>
      <c r="Y63" s="342">
        <f t="shared" si="5"/>
        <v>0</v>
      </c>
      <c r="Z63" s="342">
        <f t="shared" si="5"/>
        <v>0</v>
      </c>
      <c r="AA63" s="342">
        <f t="shared" si="5"/>
        <v>0</v>
      </c>
      <c r="AB63" s="342">
        <f t="shared" si="5"/>
        <v>3000</v>
      </c>
      <c r="AC63" s="342">
        <f t="shared" si="5"/>
        <v>0</v>
      </c>
      <c r="AD63" s="445">
        <f t="shared" si="3"/>
        <v>90255.439999999988</v>
      </c>
    </row>
    <row r="65" spans="2:17" x14ac:dyDescent="0.3">
      <c r="F65" s="512" t="s">
        <v>577</v>
      </c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2"/>
    </row>
    <row r="67" spans="2:17" x14ac:dyDescent="0.3">
      <c r="B67" s="455" t="s">
        <v>578</v>
      </c>
      <c r="C67" s="456" t="s">
        <v>579</v>
      </c>
      <c r="D67" s="456" t="s">
        <v>580</v>
      </c>
    </row>
    <row r="68" spans="2:17" x14ac:dyDescent="0.3">
      <c r="B68" s="459" t="s">
        <v>620</v>
      </c>
      <c r="C68" s="460" t="s">
        <v>581</v>
      </c>
      <c r="D68" s="461">
        <f>L40+L42+L43+L44+L45+L46+L47+L48+L49+L51+L52+L53+L54+L55+L56+L57+O58+S58+U59+O60+O61+P62+AB62-3000</f>
        <v>82155.439999999988</v>
      </c>
    </row>
    <row r="69" spans="2:17" x14ac:dyDescent="0.3">
      <c r="B69" s="459" t="s">
        <v>621</v>
      </c>
      <c r="C69" s="460" t="s">
        <v>583</v>
      </c>
      <c r="D69" s="461">
        <v>3000</v>
      </c>
    </row>
    <row r="70" spans="2:17" x14ac:dyDescent="0.3">
      <c r="B70" s="459" t="s">
        <v>623</v>
      </c>
      <c r="C70" s="460" t="s">
        <v>622</v>
      </c>
      <c r="D70" s="461">
        <f>L50</f>
        <v>3900</v>
      </c>
    </row>
    <row r="71" spans="2:17" x14ac:dyDescent="0.3">
      <c r="B71" s="459" t="s">
        <v>711</v>
      </c>
      <c r="C71" s="460" t="s">
        <v>584</v>
      </c>
      <c r="D71" s="461">
        <f>L41</f>
        <v>1200</v>
      </c>
    </row>
    <row r="72" spans="2:17" x14ac:dyDescent="0.3">
      <c r="B72" s="195"/>
      <c r="D72" s="457" t="s">
        <v>585</v>
      </c>
      <c r="E72" s="458">
        <f>SUM(D68:D71)</f>
        <v>90255.439999999988</v>
      </c>
    </row>
    <row r="73" spans="2:17" x14ac:dyDescent="0.3">
      <c r="B73" s="195"/>
      <c r="D73" s="198" t="s">
        <v>586</v>
      </c>
      <c r="E73" s="290">
        <f>E72-AD63</f>
        <v>0</v>
      </c>
    </row>
  </sheetData>
  <mergeCells count="6">
    <mergeCell ref="F65:Q65"/>
    <mergeCell ref="I1:O1"/>
    <mergeCell ref="A2:AD2"/>
    <mergeCell ref="A27:AD27"/>
    <mergeCell ref="I36:O36"/>
    <mergeCell ref="A37:AD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2024</vt:lpstr>
      <vt:lpstr>Licences</vt:lpstr>
      <vt:lpstr>Organizācijas</vt:lpstr>
      <vt:lpstr>Valsts</vt:lpstr>
      <vt:lpstr>IZM_2023</vt:lpstr>
      <vt:lpstr>LSFP_2023</vt:lpstr>
      <vt:lpstr>Birojs</vt:lpstr>
      <vt:lpstr>Šosejas_MTB_Sacensibas</vt:lpstr>
      <vt:lpstr>Šosejas_MTB_izlases</vt:lpstr>
      <vt:lpstr>BMX_sac.</vt:lpstr>
      <vt:lpstr>BMX izlase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 Ozols</dc:creator>
  <cp:lastModifiedBy>admin</cp:lastModifiedBy>
  <cp:lastPrinted>2022-04-11T09:06:36Z</cp:lastPrinted>
  <dcterms:created xsi:type="dcterms:W3CDTF">2021-11-25T11:20:55Z</dcterms:created>
  <dcterms:modified xsi:type="dcterms:W3CDTF">2024-03-14T16:00:22Z</dcterms:modified>
</cp:coreProperties>
</file>